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発出\様式\記載例\"/>
    </mc:Choice>
  </mc:AlternateContent>
  <xr:revisionPtr revIDLastSave="0" documentId="13_ncr:1_{A4D4F347-6ACA-4406-B7A1-C97E4DCDAEDE}" xr6:coauthVersionLast="47" xr6:coauthVersionMax="47" xr10:uidLastSave="{00000000-0000-0000-0000-000000000000}"/>
  <bookViews>
    <workbookView xWindow="29805" yWindow="4620"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<sst xmlns="http://schemas.openxmlformats.org/spreadsheetml/2006/main" count="6514" uniqueCount="2397">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</sst>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23" fillId="2" borderId="0" xfId="0" applyFont="1" applyFill="1" applyBorder="1" applyAlignment="1" applyProtection="1">
      <alignment horizontal="center" vertical="center"/>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xf numFmtId="0" fontId="74" fillId="0" borderId="139" xfId="0" applyFont="1" applyBorder="1" applyAlignment="1">
      <alignment horizontal="center" vertical="center"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66"/>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1"/>
              <a:chExt cx="308373" cy="759872"/>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72"/>
              <a:chExt cx="301792" cy="494757"/>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5"/>
              <a:chExt cx="308373" cy="779249"/>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20" y="8167924"/>
              <a:chExt cx="225534" cy="793293"/>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49" y="8163153"/>
              <a:chExt cx="208417" cy="747989"/>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80" y="7286480"/>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66"/>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1"/>
              <a:chExt cx="308373" cy="759872"/>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72"/>
              <a:chExt cx="301792" cy="494757"/>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5"/>
              <a:chExt cx="308373" cy="779249"/>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20" y="8167924"/>
              <a:chExt cx="225534" cy="793293"/>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49" y="8163153"/>
              <a:chExt cx="208417" cy="747989"/>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80" y="7286480"/>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4"/>
              <a:chExt cx="303832" cy="48692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0"/>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6"/>
              <a:chExt cx="308371" cy="76287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8"/>
              <a:chExt cx="301792" cy="49478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6" y="8168756"/>
              <a:chExt cx="217599"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2" y="8166026"/>
              <a:chExt cx="208649" cy="74978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4"/>
              <a:chExt cx="303832" cy="48692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0"/>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6"/>
              <a:chExt cx="308371" cy="76287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8"/>
              <a:chExt cx="301792" cy="49478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2"/>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6" y="8168756"/>
              <a:chExt cx="217599"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2" y="8166026"/>
              <a:chExt cx="208649" cy="749788"/>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0"/>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4"/>
              <a:chExt cx="303832" cy="486920"/>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60"/>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6"/>
              <a:chExt cx="308371" cy="76287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8"/>
              <a:chExt cx="301792" cy="494780"/>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5"/>
              <a:chExt cx="308371" cy="779272"/>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6" y="8168756"/>
              <a:chExt cx="217599"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2" y="8166026"/>
              <a:chExt cx="208649" cy="749788"/>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0"/>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4"/>
              <a:chExt cx="303832" cy="48692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0"/>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6"/>
              <a:chExt cx="308371" cy="76287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8"/>
              <a:chExt cx="301792" cy="49478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2"/>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6" y="8168756"/>
              <a:chExt cx="217599"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2" y="8166026"/>
              <a:chExt cx="208649" cy="749788"/>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0"/>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6"/>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1"/>
              <a:chExt cx="308373" cy="759872"/>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2"/>
              <a:chExt cx="301792" cy="49475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49"/>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20" y="8167924"/>
              <a:chExt cx="225534"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9" y="8163153"/>
              <a:chExt cx="208417" cy="74798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0" y="7286480"/>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66"/>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1"/>
              <a:chExt cx="308373" cy="759872"/>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72"/>
              <a:chExt cx="301792" cy="49475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5"/>
              <a:chExt cx="308373" cy="779249"/>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20" y="8167924"/>
              <a:chExt cx="225534" cy="793293"/>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49" y="8163153"/>
              <a:chExt cx="208417" cy="747989"/>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80" y="7286480"/>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66"/>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1"/>
              <a:chExt cx="308373" cy="759872"/>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72"/>
              <a:chExt cx="301792" cy="494757"/>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5"/>
              <a:chExt cx="308373" cy="779249"/>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20" y="8167924"/>
              <a:chExt cx="225534" cy="793293"/>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49" y="8163153"/>
              <a:chExt cx="208417" cy="747989"/>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80" y="7286480"/>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66"/>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1"/>
              <a:chExt cx="308373" cy="759872"/>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72"/>
              <a:chExt cx="301792" cy="494757"/>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5"/>
              <a:chExt cx="308373" cy="779249"/>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20" y="8167924"/>
              <a:chExt cx="225534" cy="793293"/>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49" y="8163153"/>
              <a:chExt cx="208417" cy="747989"/>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80" y="7286480"/>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mailto:aaa@aaa.aa.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109"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2332</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2333</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14" t="s">
        <v>224</v>
      </c>
      <c r="B2" s="1216" t="s">
        <v>2239</v>
      </c>
      <c r="C2" s="1217"/>
      <c r="D2" s="1217"/>
      <c r="E2" s="1218"/>
      <c r="F2" s="1219" t="s">
        <v>2240</v>
      </c>
      <c r="G2" s="1220"/>
      <c r="H2" s="1220"/>
      <c r="I2" s="1214" t="s">
        <v>2241</v>
      </c>
      <c r="J2" s="1221"/>
      <c r="K2" s="1224" t="s">
        <v>2242</v>
      </c>
      <c r="L2" s="1225"/>
      <c r="M2" s="1225"/>
      <c r="N2" s="1225"/>
      <c r="O2" s="1225"/>
      <c r="P2" s="1225"/>
      <c r="Q2" s="1225"/>
      <c r="R2" s="1225"/>
      <c r="S2" s="1225"/>
      <c r="T2" s="1225"/>
      <c r="U2" s="1225"/>
      <c r="V2" s="1225"/>
      <c r="W2" s="1225"/>
      <c r="X2" s="1225"/>
      <c r="Y2" s="1225"/>
      <c r="Z2" s="1225"/>
      <c r="AA2" s="1225"/>
      <c r="AB2" s="1226"/>
      <c r="AC2" s="1244" t="s">
        <v>2243</v>
      </c>
      <c r="AD2" s="449"/>
      <c r="AE2" s="1240" t="s">
        <v>224</v>
      </c>
      <c r="AF2" s="1242" t="s">
        <v>2277</v>
      </c>
      <c r="AH2" s="444" t="s">
        <v>2244</v>
      </c>
      <c r="AI2" s="445" t="s">
        <v>2244</v>
      </c>
      <c r="AK2" s="451" t="s">
        <v>181</v>
      </c>
      <c r="AM2" s="451" t="s">
        <v>16</v>
      </c>
      <c r="AO2" s="452" t="s">
        <v>226</v>
      </c>
      <c r="AQ2" s="1234" t="s">
        <v>2008</v>
      </c>
      <c r="AR2" s="1237" t="s">
        <v>225</v>
      </c>
    </row>
    <row r="3" spans="1:44" ht="51.75" customHeight="1" thickBot="1">
      <c r="A3" s="1215"/>
      <c r="B3" s="1227" t="s">
        <v>228</v>
      </c>
      <c r="C3" s="1228"/>
      <c r="D3" s="1228"/>
      <c r="E3" s="1229"/>
      <c r="F3" s="1230" t="s">
        <v>229</v>
      </c>
      <c r="G3" s="1230"/>
      <c r="H3" s="1230"/>
      <c r="I3" s="1222"/>
      <c r="J3" s="1223"/>
      <c r="K3" s="1231" t="s">
        <v>230</v>
      </c>
      <c r="L3" s="1232"/>
      <c r="M3" s="1232"/>
      <c r="N3" s="1232"/>
      <c r="O3" s="1232"/>
      <c r="P3" s="1232"/>
      <c r="Q3" s="1232"/>
      <c r="R3" s="1232"/>
      <c r="S3" s="1232"/>
      <c r="T3" s="1232"/>
      <c r="U3" s="1232"/>
      <c r="V3" s="1232"/>
      <c r="W3" s="1232"/>
      <c r="X3" s="1232"/>
      <c r="Y3" s="1232"/>
      <c r="Z3" s="1232"/>
      <c r="AA3" s="1232"/>
      <c r="AB3" s="1233"/>
      <c r="AC3" s="1245"/>
      <c r="AD3" s="449"/>
      <c r="AE3" s="1241"/>
      <c r="AF3" s="1243"/>
      <c r="AH3" s="443" t="s">
        <v>2245</v>
      </c>
      <c r="AI3" s="446" t="s">
        <v>2245</v>
      </c>
      <c r="AK3" s="453"/>
      <c r="AM3" s="453"/>
      <c r="AO3" s="454" t="s">
        <v>18</v>
      </c>
      <c r="AQ3" s="1235"/>
      <c r="AR3" s="1238"/>
    </row>
    <row r="4" spans="1:44" ht="41.25" customHeight="1" thickBot="1">
      <c r="A4" s="1215"/>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46"/>
      <c r="AD4" s="449"/>
      <c r="AE4" s="1241"/>
      <c r="AF4" s="1243"/>
      <c r="AH4" s="443" t="s">
        <v>2280</v>
      </c>
      <c r="AI4" s="446" t="s">
        <v>2280</v>
      </c>
      <c r="AO4" s="454" t="s">
        <v>237</v>
      </c>
      <c r="AQ4" s="1236"/>
      <c r="AR4" s="1239"/>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48" t="s">
        <v>2239</v>
      </c>
      <c r="C3" s="1247" t="s">
        <v>2240</v>
      </c>
      <c r="D3" s="1247" t="s">
        <v>2241</v>
      </c>
      <c r="E3" s="1247" t="s">
        <v>227</v>
      </c>
      <c r="F3" s="1249" t="s">
        <v>2067</v>
      </c>
      <c r="G3" s="1247" t="s">
        <v>2103</v>
      </c>
      <c r="H3" s="1247"/>
      <c r="I3" s="1247" t="s">
        <v>2104</v>
      </c>
      <c r="J3" s="1247"/>
      <c r="K3" s="1247" t="s">
        <v>2105</v>
      </c>
      <c r="L3" s="1247"/>
      <c r="M3" s="1252" t="s">
        <v>2037</v>
      </c>
      <c r="N3" s="1252" t="s">
        <v>2038</v>
      </c>
      <c r="O3" s="1252" t="s">
        <v>2039</v>
      </c>
      <c r="P3" s="1252" t="s">
        <v>2040</v>
      </c>
      <c r="Q3" s="1252" t="s">
        <v>2041</v>
      </c>
      <c r="R3" s="1252" t="s">
        <v>2042</v>
      </c>
      <c r="S3" s="1252" t="s">
        <v>2043</v>
      </c>
    </row>
    <row r="4" spans="2:19">
      <c r="B4" s="1248"/>
      <c r="C4" s="1247"/>
      <c r="D4" s="1247"/>
      <c r="E4" s="1247"/>
      <c r="F4" s="1250"/>
      <c r="G4" s="1247"/>
      <c r="H4" s="1247"/>
      <c r="I4" s="1247"/>
      <c r="J4" s="1247"/>
      <c r="K4" s="1247"/>
      <c r="L4" s="1247"/>
      <c r="M4" s="1252"/>
      <c r="N4" s="1252"/>
      <c r="O4" s="1252"/>
      <c r="P4" s="1252"/>
      <c r="Q4" s="1252"/>
      <c r="R4" s="1252"/>
      <c r="S4" s="1252"/>
    </row>
    <row r="5" spans="2:19">
      <c r="B5" s="1248"/>
      <c r="C5" s="1247"/>
      <c r="D5" s="1247"/>
      <c r="E5" s="1247"/>
      <c r="F5" s="1251"/>
      <c r="G5" s="1247"/>
      <c r="H5" s="1247"/>
      <c r="I5" s="1247"/>
      <c r="J5" s="1247"/>
      <c r="K5" s="1247"/>
      <c r="L5" s="1247"/>
      <c r="M5" s="1252"/>
      <c r="N5" s="1252"/>
      <c r="O5" s="1252"/>
      <c r="P5" s="1252"/>
      <c r="Q5" s="1252"/>
      <c r="R5" s="1252"/>
      <c r="S5" s="1252"/>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2119</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処遇加算Ⅰ特定加算Ⅰベア加算なし</v>
      </c>
      <c r="AT1" s="1035"/>
      <c r="AU1" s="1035"/>
      <c r="AV1" s="1035"/>
      <c r="AW1" s="1035"/>
      <c r="AX1" s="1035"/>
      <c r="AY1" s="1035"/>
      <c r="AZ1" s="1035"/>
      <c r="BA1" s="1035"/>
      <c r="BB1" s="1035"/>
      <c r="BC1" s="1035"/>
      <c r="BD1" s="1035"/>
      <c r="BE1" s="1036"/>
      <c r="BF1" s="1033" t="str">
        <f>IFERROR(VLOOKUP(Y5,【参考】数式用!$AH$2:$AI$34,2,FALSE),"")</f>
        <v>施設入所支援</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2345</v>
      </c>
      <c r="Q5" s="1010"/>
      <c r="R5" s="1010"/>
      <c r="S5" s="1010"/>
      <c r="T5" s="1010"/>
      <c r="U5" s="1010"/>
      <c r="V5" s="1010"/>
      <c r="W5" s="1010"/>
      <c r="X5" s="1011"/>
      <c r="Y5" s="1086" t="s">
        <v>2250</v>
      </c>
      <c r="Z5" s="1086"/>
      <c r="AA5" s="1086"/>
      <c r="AB5" s="1086"/>
      <c r="AC5" s="1086"/>
      <c r="AD5" s="1086"/>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v>
      </c>
      <c r="AX8" s="1202" t="str">
        <f>IF(OR(V8="新加算Ⅰ",V8="新加算Ⅱ",V8="新加算Ⅴ(１)",V8="新加算Ⅴ(２)",V8="新加算Ⅴ(３)",V8="新加算Ⅴ(４)",V8="新加算Ⅴ(５)",V8="新加算Ⅴ(６)",V8="新加算Ⅴ(７)",V8="新加算Ⅴ(９)",V8="新加算Ⅴ(10)",V8="新加算Ⅴ(12)"),"○","")</f>
        <v>○</v>
      </c>
      <c r="AY8" s="1202" t="str">
        <f>IF(OR(V8="新加算Ⅰ",V8="新加算Ⅴ(１)",V8="新加算Ⅴ(２)",V8="新加算Ⅴ(５)",V8="新加算Ⅴ(７)",V8="新加算Ⅴ(10)"),"○","")</f>
        <v>○</v>
      </c>
      <c r="AZ8" s="1202" t="str">
        <f>IF(OR(V8="新加算Ⅰ",V8="新加算Ⅱ",V8="新加算Ⅴ(１)",V8="新加算Ⅴ(２)",V8="新加算Ⅴ(３)",V8="新加算Ⅴ(４)",V8="新加算Ⅴ(５)",V8="新加算Ⅴ(６)",V8="新加算Ⅴ(７)",V8="新加算Ⅴ(９)",V8="新加算Ⅴ(10)",V8="新加算Ⅴ(12)"),"○","")</f>
        <v>○</v>
      </c>
      <c r="BA8" s="84"/>
      <c r="CE8" s="1209" t="s">
        <v>2188</v>
      </c>
      <c r="CF8" s="1209"/>
      <c r="CG8" s="1209"/>
      <c r="CH8" s="1209"/>
      <c r="CI8" s="990" t="str">
        <f>IF(AND(AP62=1,AL41=""),1,"")</f>
        <v/>
      </c>
      <c r="CJ8" s="991"/>
    </row>
    <row r="9" spans="1:88" ht="26.25" customHeight="1">
      <c r="B9" s="1124" t="s">
        <v>7</v>
      </c>
      <c r="C9" s="1125"/>
      <c r="D9" s="1125"/>
      <c r="E9" s="1125"/>
      <c r="F9" s="1126"/>
      <c r="G9" s="1127" t="s">
        <v>234</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f>IF(OR(AH62=1,AP62=1),1,"")</f>
        <v>1</v>
      </c>
      <c r="CJ9" s="991"/>
    </row>
    <row r="10" spans="1:88" ht="11.25" customHeight="1">
      <c r="B10" s="1133">
        <f>IFERROR(VLOOKUP(Y5,【参考】数式用!$A$5:$J$37,MATCH(B9,【参考】数式用!$B$4:$J$4,0)+1,0),"")</f>
        <v>8.5999999999999993E-2</v>
      </c>
      <c r="C10" s="1134"/>
      <c r="D10" s="1134"/>
      <c r="E10" s="1134"/>
      <c r="F10" s="1135"/>
      <c r="G10" s="1133">
        <f>IFERROR(VLOOKUP(Y5,【参考】数式用!$A$5:$J$37,MATCH(G9,【参考】数式用!$B$4:$J$4,0)+1,0),"")</f>
        <v>2.1000000000000001E-2</v>
      </c>
      <c r="H10" s="1134"/>
      <c r="I10" s="1134"/>
      <c r="J10" s="1134"/>
      <c r="K10" s="1135"/>
      <c r="L10" s="1139">
        <f>IFERROR(VLOOKUP(Y5,【参考】数式用!$A$5:$J$37,MATCH(L9,【参考】数式用!$B$4:$J$4,0)+1,0),"")</f>
        <v>0</v>
      </c>
      <c r="M10" s="1140"/>
      <c r="N10" s="1140"/>
      <c r="O10" s="1140"/>
      <c r="P10" s="1141"/>
      <c r="Q10" s="1145">
        <f>SUM(B10,G10,L10)</f>
        <v>0.107</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新加算Ⅴ(１)</v>
      </c>
      <c r="W11" s="1075"/>
      <c r="X11" s="1075"/>
      <c r="Y11" s="1075"/>
      <c r="Z11" s="1075"/>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v>
      </c>
      <c r="AX11" s="1202" t="str">
        <f>IF(OR(V11="新加算Ⅰ",V11="新加算Ⅱ",V11="新加算Ⅴ(１)",V11="新加算Ⅴ(２)",V11="新加算Ⅴ(３)",V11="新加算Ⅴ(４)",V11="新加算Ⅴ(５)",V11="新加算Ⅴ(６)",V11="新加算Ⅴ(７)",V11="新加算Ⅴ(９)",V11="新加算Ⅴ(10)",V11="新加算Ⅴ(12)"),"○","")</f>
        <v>○</v>
      </c>
      <c r="AY11" s="1202" t="str">
        <f>IF(OR(V11="新加算Ⅰ",V11="新加算Ⅴ(１)",V11="新加算Ⅴ(２)",V11="新加算Ⅴ(５)",V11="新加算Ⅴ(７)",V11="新加算Ⅴ(10)"),"○","")</f>
        <v>○</v>
      </c>
      <c r="AZ11" s="1202"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074">
        <f>IFERROR(VLOOKUP(Y5,【参考】数式用!$A$5:$AB$37,MATCH(V11,【参考】数式用!$B$4:$AB$4,0)+1,FALSE),"")</f>
        <v>0.13100000000000001</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103" t="s">
        <v>2111</v>
      </c>
      <c r="F15" s="54">
        <v>4</v>
      </c>
      <c r="G15" s="103" t="s">
        <v>2112</v>
      </c>
      <c r="H15" s="1059" t="s">
        <v>2113</v>
      </c>
      <c r="I15" s="1059"/>
      <c r="J15" s="1072"/>
      <c r="K15" s="54">
        <v>7</v>
      </c>
      <c r="L15" s="103" t="s">
        <v>2111</v>
      </c>
      <c r="M15" s="54">
        <v>3</v>
      </c>
      <c r="N15" s="103" t="s">
        <v>2112</v>
      </c>
      <c r="O15" s="103" t="s">
        <v>2114</v>
      </c>
      <c r="P15" s="104">
        <f>(K15*12+M15)-(D15*12+F15)+1</f>
        <v>12</v>
      </c>
      <c r="Q15" s="1059" t="s">
        <v>2115</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119" t="str">
        <f>IFERROR(IF(OR(B9="処遇加算Ⅰ",B9="処遇加算Ⅱ"),"✓",""),"")</f>
        <v>✓</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11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11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119" t="str">
        <f>IFERROR(IF(OR(B9="処遇加算Ⅰ",B9="処遇加算Ⅱ"),"✓",""),"")</f>
        <v>✓</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11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11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119" t="str">
        <f>IFERROR(IF(B9="処遇加算Ⅰ","✓",""),"")</f>
        <v>✓</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119" t="str">
        <f>IFERROR(IF(OR(G9="特定加算Ⅰ",G9="特定加算Ⅱ"),"✓",""),"")</f>
        <v>✓</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対象加算なし（自動的に要件を満たす）</v>
      </c>
      <c r="H40" s="1077"/>
      <c r="I40" s="1077"/>
      <c r="J40" s="1077"/>
      <c r="K40" s="1077"/>
      <c r="L40" s="1077"/>
      <c r="M40" s="1077"/>
      <c r="N40" s="1077"/>
      <c r="O40" s="1077"/>
      <c r="P40" s="1077"/>
      <c r="Q40" s="1077"/>
      <c r="R40" s="1077"/>
      <c r="S40" s="1077"/>
      <c r="T40" s="1078"/>
      <c r="U40" s="92"/>
      <c r="V40" s="119" t="str">
        <f>IFERROR(IF(G9="特定加算Ⅰ","✓",""),"")</f>
        <v>✓</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2374</v>
      </c>
      <c r="H44" s="1077"/>
      <c r="I44" s="1077"/>
      <c r="J44" s="1077"/>
      <c r="K44" s="1077"/>
      <c r="L44" s="1077"/>
      <c r="M44" s="1077"/>
      <c r="N44" s="1077"/>
      <c r="O44" s="1077"/>
      <c r="P44" s="1077"/>
      <c r="Q44" s="1077"/>
      <c r="R44" s="1077"/>
      <c r="S44" s="1077"/>
      <c r="T44" s="1078"/>
      <c r="U44" s="118"/>
      <c r="V44" s="119" t="str">
        <f>IFERROR(IF(OR(G9="特定加算Ⅰ",G9="特定加算Ⅱ"),"✓",""),"")</f>
        <v>✓</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処遇加算Ⅰ</v>
      </c>
      <c r="AT48" s="1040"/>
      <c r="AU48" s="1040"/>
      <c r="AV48" s="1040"/>
      <c r="AW48" s="1253" t="str">
        <f>IFERROR(IF(AND(AP61=1,AP62=1,AP63=1),"特定加算Ⅰ",IF(AND(AP61=1,AP62=2,AP63=1),"特定加算Ⅱ",IF(OR(AP61=2,AP62=2,AP63=2),"特定加算なし",""))),"")</f>
        <v>特定加算Ⅰ</v>
      </c>
      <c r="AX48" s="1253"/>
      <c r="AY48" s="1253"/>
      <c r="AZ48" s="1253"/>
      <c r="BA48" s="1040" t="str">
        <f>IFERROR(IF(OR(L9="ベア加算",AP57=1),"ベア加算",IF(AP57=2,"ベア加算なし","")),"")</f>
        <v>ベア加算</v>
      </c>
      <c r="BB48" s="1040"/>
      <c r="BC48" s="1040"/>
      <c r="BD48" s="1040"/>
      <c r="BE48" s="1041" t="str">
        <f>AS48&amp;AW48&amp;BA48</f>
        <v>処遇加算Ⅰ特定加算Ⅰベア加算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254" t="str">
        <f>IFERROR(IF(G9="","",IF(AND(AH61=1,AH62=1,AH63=1),"特定加算Ⅰ",IF(AND(AH61=1,AH62=2,AH63=1),"特定加算Ⅱ",IF(OR(AH61=2,AH62=2,AH63=2),"特定加算なし","")))),"")</f>
        <v>特定加算Ⅰ</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新加算Ⅰ</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8.5999999999999993E-2</v>
      </c>
      <c r="H50" s="1177"/>
      <c r="I50" s="1177"/>
      <c r="J50" s="1177"/>
      <c r="K50" s="1178"/>
      <c r="L50" s="1179">
        <f>IFERROR(VLOOKUP(Y5,【参考】数式用!$A$5:$J$37,MATCH(L49,【参考】数式用!$B$4:$J$4,0)+1,0),"")</f>
        <v>2.1000000000000001E-2</v>
      </c>
      <c r="M50" s="1180"/>
      <c r="N50" s="1180"/>
      <c r="O50" s="1180"/>
      <c r="P50" s="1181"/>
      <c r="Q50" s="1182">
        <f>IFERROR(VLOOKUP(Y5,【参考】数式用!$A$5:$J$37,MATCH(Q49,【参考】数式用!$B$4:$J$4,0)+1,0),"")</f>
        <v>2.8000000000000001E-2</v>
      </c>
      <c r="R50" s="1177"/>
      <c r="S50" s="1177"/>
      <c r="T50" s="1177"/>
      <c r="U50" s="1183"/>
      <c r="V50" s="1145">
        <f>SUM(G50,L50,Q50)</f>
        <v>0.13500000000000001</v>
      </c>
      <c r="W50" s="1146"/>
      <c r="X50" s="1146"/>
      <c r="Y50" s="1146"/>
      <c r="Z50" s="1146"/>
      <c r="AA50" s="1047"/>
      <c r="AB50" s="1047"/>
      <c r="AC50" s="1184">
        <f>IFERROR(VLOOKUP(Y5,【参考】数式用!$A$5:$AB$37,MATCH(AC49,【参考】数式用!$B$4:$AB$4,0)+1,FALSE),"")</f>
        <v>0.159</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318200</v>
      </c>
      <c r="H51" s="1092"/>
      <c r="I51" s="1092"/>
      <c r="J51" s="1092"/>
      <c r="K51" s="55" t="s">
        <v>2117</v>
      </c>
      <c r="L51" s="1089">
        <f>IFERROR(ROUNDDOWN(ROUND(AM5*L50,0),0)*H53,"")</f>
        <v>77700</v>
      </c>
      <c r="M51" s="1090"/>
      <c r="N51" s="1090"/>
      <c r="O51" s="1090"/>
      <c r="P51" s="55" t="s">
        <v>2117</v>
      </c>
      <c r="Q51" s="1091">
        <f>IFERROR(ROUNDDOWN(ROUND(AM5*Q50,0),0)*H53,"")</f>
        <v>103600</v>
      </c>
      <c r="R51" s="1092"/>
      <c r="S51" s="1092"/>
      <c r="T51" s="1092"/>
      <c r="U51" s="56" t="s">
        <v>2117</v>
      </c>
      <c r="V51" s="1192">
        <f>IFERROR(SUM(G51,L51,Q51),"")</f>
        <v>499500</v>
      </c>
      <c r="W51" s="1193"/>
      <c r="X51" s="1193"/>
      <c r="Y51" s="1193"/>
      <c r="Z51" s="57" t="s">
        <v>2117</v>
      </c>
      <c r="AB51" s="58"/>
      <c r="AC51" s="1091">
        <f>IFERROR(ROUNDDOWN(ROUND(AM5*AC50,0),0)*AD53,"")</f>
        <v>2941500</v>
      </c>
      <c r="AD51" s="1092"/>
      <c r="AE51" s="1092"/>
      <c r="AF51" s="1092"/>
      <c r="AG51" s="1092"/>
      <c r="AH51" s="56" t="s">
        <v>2117</v>
      </c>
      <c r="AS51" s="1042">
        <f>IFERROR(ROUNDDOWN(ROUND(AM5*(G50-B10),0),0)*H53,"")</f>
        <v>0</v>
      </c>
      <c r="AT51" s="1042"/>
      <c r="AU51" s="1042"/>
      <c r="AV51" s="1042"/>
      <c r="AW51" s="1042">
        <f>IFERROR(ROUNDDOWN(ROUND(AM5*(L50-G10),0),0)*H53,"")</f>
        <v>0</v>
      </c>
      <c r="AX51" s="1042"/>
      <c r="AY51" s="1042"/>
      <c r="AZ51" s="1042"/>
      <c r="BA51" s="1042">
        <f>IFERROR(ROUNDDOWN(ROUND(AM5*(Q50-L10),0),0)*H53,"")</f>
        <v>103600</v>
      </c>
      <c r="BB51" s="1042"/>
      <c r="BC51" s="1042"/>
      <c r="BD51" s="1042"/>
      <c r="BE51" s="1042">
        <f>IFERROR(ROUNDDOWN(ROUND(AM5*(AC50-Q10),0),0)*AD53,"")</f>
        <v>962000</v>
      </c>
      <c r="BF51" s="1042"/>
      <c r="BG51" s="1042"/>
      <c r="BH51" s="1042"/>
      <c r="BI51" s="1042">
        <f>SUM(AS51:BH51)</f>
        <v>1065600</v>
      </c>
      <c r="BJ51" s="1042"/>
      <c r="BK51" s="1042"/>
      <c r="BL51" s="1042"/>
      <c r="BM51" s="141"/>
      <c r="BN51" s="1042">
        <f>IFERROR(ROUNDDOWN(ROUNDDOWN(ROUND(AM5*(VLOOKUP(Y5,【参考】数式用!$A$5:$AB$37,14,FALSE)),0),0)*AD53*0.5,0),"")</f>
        <v>1063750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(159,100円/月)</v>
      </c>
      <c r="H52" s="1088"/>
      <c r="I52" s="1088"/>
      <c r="J52" s="1088"/>
      <c r="K52" s="1088"/>
      <c r="L52" s="1190" t="str">
        <f>IFERROR("("&amp;TEXT(L51/H53,"#,##0円")&amp;"/月)","")</f>
        <v>(38,850円/月)</v>
      </c>
      <c r="M52" s="1191"/>
      <c r="N52" s="1191"/>
      <c r="O52" s="1191"/>
      <c r="P52" s="1087"/>
      <c r="Q52" s="1088" t="str">
        <f>IFERROR("("&amp;TEXT(Q51/H53,"#,##0円")&amp;"/月)","")</f>
        <v>(51,800円/月)</v>
      </c>
      <c r="R52" s="1088"/>
      <c r="S52" s="1088"/>
      <c r="T52" s="1088"/>
      <c r="U52" s="1088"/>
      <c r="V52" s="1088" t="str">
        <f>IFERROR("("&amp;TEXT(V51/H53,"#,##0円")&amp;"/月)","")</f>
        <v>(249,750円/月)</v>
      </c>
      <c r="W52" s="1088"/>
      <c r="X52" s="1088"/>
      <c r="Y52" s="1088"/>
      <c r="Z52" s="1088"/>
      <c r="AB52" s="58"/>
      <c r="AC52" s="1190" t="str">
        <f>IFERROR("("&amp;TEXT(AC51/AD53,"#,##0円")&amp;"/月)","")</f>
        <v>(294,150円/月)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216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2055</v>
      </c>
      <c r="V57" s="1038"/>
      <c r="W57" s="1038"/>
      <c r="X57" s="1038"/>
      <c r="Y57" s="1038"/>
      <c r="Z57" s="152">
        <f>IF(AND(B9&lt;&gt;"処遇加算なし",F15=4),IF(V21="✓",1,IF(V22="✓",2,"")),"")</f>
        <v>2</v>
      </c>
      <c r="AA57" s="145"/>
      <c r="AB57" s="149"/>
      <c r="AC57" s="1038" t="s">
        <v>2055</v>
      </c>
      <c r="AD57" s="1038"/>
      <c r="AE57" s="1038"/>
      <c r="AF57" s="1038"/>
      <c r="AG57" s="1038"/>
      <c r="AH57" s="425">
        <f>IF(AND(F15&lt;&gt;4,F15&lt;&gt;5),0,IF(AT8="○",1,0))</f>
        <v>1</v>
      </c>
      <c r="AI57" s="153"/>
      <c r="AJ57" s="149"/>
      <c r="AK57" s="1038" t="s">
        <v>2055</v>
      </c>
      <c r="AL57" s="1038"/>
      <c r="AM57" s="1038"/>
      <c r="AN57" s="1038"/>
      <c r="AO57" s="1038"/>
      <c r="AP57" s="425">
        <f>IF(AT8="○",1,0)</f>
        <v>1</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2056</v>
      </c>
      <c r="V58" s="1046"/>
      <c r="W58" s="1046"/>
      <c r="X58" s="1046"/>
      <c r="Y58" s="1046"/>
      <c r="Z58" s="152">
        <f>IF(AND(B9&lt;&gt;"処遇加算なし",F15=4),IF(V24="✓",1,IF(V25="✓",2,IF(V26="✓",3,""))),"")</f>
        <v>1</v>
      </c>
      <c r="AA58" s="145"/>
      <c r="AB58" s="149"/>
      <c r="AC58" s="1046" t="s">
        <v>2056</v>
      </c>
      <c r="AD58" s="1046"/>
      <c r="AE58" s="1046"/>
      <c r="AF58" s="1046"/>
      <c r="AG58" s="1046"/>
      <c r="AH58" s="425">
        <f>IF(AND(F15&lt;&gt;4,F15&lt;&gt;5),0,IF(AU8="○",1,3))</f>
        <v>1</v>
      </c>
      <c r="AI58" s="153"/>
      <c r="AJ58" s="149"/>
      <c r="AK58" s="1046" t="s">
        <v>2056</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2057</v>
      </c>
      <c r="V59" s="1046"/>
      <c r="W59" s="1046"/>
      <c r="X59" s="1046"/>
      <c r="Y59" s="1046"/>
      <c r="Z59" s="152">
        <f>IF(AND(B9&lt;&gt;"処遇加算なし",F15=4),IF(V28="✓",1,IF(V29="✓",2,IF(V30="✓",3,""))),"")</f>
        <v>1</v>
      </c>
      <c r="AA59" s="145"/>
      <c r="AB59" s="149"/>
      <c r="AC59" s="1046" t="s">
        <v>2057</v>
      </c>
      <c r="AD59" s="1046"/>
      <c r="AE59" s="1046"/>
      <c r="AF59" s="1046"/>
      <c r="AG59" s="1046"/>
      <c r="AH59" s="425">
        <f>IF(AND(F15&lt;&gt;4,F15&lt;&gt;5),0,IF(AV8="○",1,3))</f>
        <v>1</v>
      </c>
      <c r="AI59" s="153"/>
      <c r="AJ59" s="149"/>
      <c r="AK59" s="1046" t="s">
        <v>2057</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2058</v>
      </c>
      <c r="V60" s="1046"/>
      <c r="W60" s="1046"/>
      <c r="X60" s="1046"/>
      <c r="Y60" s="1046"/>
      <c r="Z60" s="152">
        <f>IF(AND(B9&lt;&gt;"処遇加算なし",F15=4),IF(V32="✓",1,IF(V33="✓",2,"")),"")</f>
        <v>1</v>
      </c>
      <c r="AA60" s="145"/>
      <c r="AB60" s="149"/>
      <c r="AC60" s="1046" t="s">
        <v>2058</v>
      </c>
      <c r="AD60" s="1046"/>
      <c r="AE60" s="1046"/>
      <c r="AF60" s="1046"/>
      <c r="AG60" s="1046"/>
      <c r="AH60" s="425">
        <f>IF(AND(F15&lt;&gt;4,F15&lt;&gt;5),0,IF(AW8="○",1,3))</f>
        <v>1</v>
      </c>
      <c r="AI60" s="153"/>
      <c r="AJ60" s="149"/>
      <c r="AK60" s="1046" t="s">
        <v>2058</v>
      </c>
      <c r="AL60" s="1046"/>
      <c r="AM60" s="1046"/>
      <c r="AN60" s="1046"/>
      <c r="AO60" s="1046"/>
      <c r="AP60" s="425">
        <f>IF(AW8="○",1,3)</f>
        <v>1</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2059</v>
      </c>
      <c r="V61" s="1046"/>
      <c r="W61" s="1046"/>
      <c r="X61" s="1046"/>
      <c r="Y61" s="1046"/>
      <c r="Z61" s="152">
        <f>IF(AND(B9&lt;&gt;"処遇加算なし",F15=4),IF(V36="✓",1,IF(V37="✓",2,"")),"")</f>
        <v>1</v>
      </c>
      <c r="AA61" s="145"/>
      <c r="AB61" s="149"/>
      <c r="AC61" s="1046" t="s">
        <v>2059</v>
      </c>
      <c r="AD61" s="1046"/>
      <c r="AE61" s="1046"/>
      <c r="AF61" s="1046"/>
      <c r="AG61" s="1046"/>
      <c r="AH61" s="425">
        <f>IF(AND(F15&lt;&gt;4,F15&lt;&gt;5),0,IF(AX8="○",1,2))</f>
        <v>1</v>
      </c>
      <c r="AI61" s="153"/>
      <c r="AJ61" s="149"/>
      <c r="AK61" s="1046" t="s">
        <v>2059</v>
      </c>
      <c r="AL61" s="1046"/>
      <c r="AM61" s="1046"/>
      <c r="AN61" s="1046"/>
      <c r="AO61" s="1046"/>
      <c r="AP61" s="425">
        <f>IF(AX8="○",1,2)</f>
        <v>1</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2060</v>
      </c>
      <c r="V62" s="1046"/>
      <c r="W62" s="1046"/>
      <c r="X62" s="1046"/>
      <c r="Y62" s="1046"/>
      <c r="Z62" s="152">
        <f>IF(AND(B9&lt;&gt;"処遇加算なし",F15=4),IF(V40="✓",1,IF(V41="✓",2,"")),"")</f>
        <v>1</v>
      </c>
      <c r="AA62" s="145"/>
      <c r="AB62" s="149"/>
      <c r="AC62" s="1046" t="s">
        <v>2060</v>
      </c>
      <c r="AD62" s="1046"/>
      <c r="AE62" s="1046"/>
      <c r="AF62" s="1046"/>
      <c r="AG62" s="1046"/>
      <c r="AH62" s="425">
        <f>IF(AND(F15&lt;&gt;4,F15&lt;&gt;5),0,IF(AY8="○",1,2))</f>
        <v>1</v>
      </c>
      <c r="AI62" s="153"/>
      <c r="AJ62" s="149"/>
      <c r="AK62" s="1046" t="s">
        <v>2060</v>
      </c>
      <c r="AL62" s="1046"/>
      <c r="AM62" s="1046"/>
      <c r="AN62" s="1046"/>
      <c r="AO62" s="1046"/>
      <c r="AP62" s="425">
        <f>IF(AY8="○",1,2)</f>
        <v>1</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2061</v>
      </c>
      <c r="V63" s="1038"/>
      <c r="W63" s="1038"/>
      <c r="X63" s="1038"/>
      <c r="Y63" s="1038"/>
      <c r="Z63" s="152">
        <f>IF(AND(B9&lt;&gt;"処遇加算なし",F15=4),IF(V44="✓",1,IF(V45="✓",2,"")),"")</f>
        <v>1</v>
      </c>
      <c r="AA63" s="145"/>
      <c r="AB63" s="149"/>
      <c r="AC63" s="1038" t="s">
        <v>2061</v>
      </c>
      <c r="AD63" s="1038"/>
      <c r="AE63" s="1038"/>
      <c r="AF63" s="1038"/>
      <c r="AG63" s="1038"/>
      <c r="AH63" s="425">
        <f>IF(AND(F15&lt;&gt;4,F15&lt;&gt;5),0,IF(AZ8="○",1,2))</f>
        <v>1</v>
      </c>
      <c r="AI63" s="153"/>
      <c r="AJ63" s="149"/>
      <c r="AK63" s="1038" t="s">
        <v>2061</v>
      </c>
      <c r="AL63" s="1038"/>
      <c r="AM63" s="1038"/>
      <c r="AN63" s="1038"/>
      <c r="AO63" s="1038"/>
      <c r="AP63" s="425">
        <f>IF(AZ8="○",1,2)</f>
        <v>1</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AD38:AH38"/>
    <mergeCell ref="AL38:AP38"/>
    <mergeCell ref="AD36:AH36"/>
    <mergeCell ref="AI36:AJ38"/>
    <mergeCell ref="AL36:AP36"/>
    <mergeCell ref="AC37:AF37"/>
    <mergeCell ref="AG37:AH37"/>
    <mergeCell ref="AK37:AN37"/>
    <mergeCell ref="AO37:AP37"/>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2325</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処遇加算Ⅲ特定加算なしベア加算</v>
      </c>
      <c r="AT1" s="1035"/>
      <c r="AU1" s="1035"/>
      <c r="AV1" s="1035"/>
      <c r="AW1" s="1035"/>
      <c r="AX1" s="1035"/>
      <c r="AY1" s="1035"/>
      <c r="AZ1" s="1035"/>
      <c r="BA1" s="1035"/>
      <c r="BB1" s="1035"/>
      <c r="BC1" s="1035"/>
      <c r="BD1" s="1035"/>
      <c r="BE1" s="1036"/>
      <c r="BF1" s="1033" t="str">
        <f>IFERROR(VLOOKUP(Y5,【参考】数式用!$AH$2:$AI$34,2,FALSE),"")</f>
        <v>生活介護</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f>IF(AND(L9="ベア加算",Q49="ベア加算"),1,"")</f>
        <v>1</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2352</v>
      </c>
      <c r="Q5" s="1010"/>
      <c r="R5" s="1010"/>
      <c r="S5" s="1010"/>
      <c r="T5" s="1010"/>
      <c r="U5" s="1010"/>
      <c r="V5" s="1010"/>
      <c r="W5" s="1010"/>
      <c r="X5" s="1011"/>
      <c r="Y5" s="1086" t="s">
        <v>2249</v>
      </c>
      <c r="Z5" s="1086"/>
      <c r="AA5" s="1086"/>
      <c r="AB5" s="1086"/>
      <c r="AC5" s="1086"/>
      <c r="AD5" s="1086"/>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t="s">
        <v>232</v>
      </c>
      <c r="C9" s="1125"/>
      <c r="D9" s="1125"/>
      <c r="E9" s="1125"/>
      <c r="F9" s="1126"/>
      <c r="G9" s="1127" t="s">
        <v>11</v>
      </c>
      <c r="H9" s="1128"/>
      <c r="I9" s="1128"/>
      <c r="J9" s="1128"/>
      <c r="K9" s="1129"/>
      <c r="L9" s="1130" t="s">
        <v>13</v>
      </c>
      <c r="M9" s="1131"/>
      <c r="N9" s="1131"/>
      <c r="O9" s="1131"/>
      <c r="P9" s="1132"/>
      <c r="Q9" s="1107" t="s">
        <v>2052</v>
      </c>
      <c r="R9" s="1108"/>
      <c r="S9" s="1108"/>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f>IFERROR(VLOOKUP(Y5,【参考】数式用!$A$5:$J$37,MATCH(B9,【参考】数式用!$B$4:$J$4,0)+1,0),"")</f>
        <v>1.7999999999999999E-2</v>
      </c>
      <c r="C10" s="1134"/>
      <c r="D10" s="1134"/>
      <c r="E10" s="1134"/>
      <c r="F10" s="1135"/>
      <c r="G10" s="1133">
        <f>IFERROR(VLOOKUP(Y5,【参考】数式用!$A$5:$J$37,MATCH(G9,【参考】数式用!$B$4:$J$4,0)+1,0),"")</f>
        <v>0</v>
      </c>
      <c r="H10" s="1134"/>
      <c r="I10" s="1134"/>
      <c r="J10" s="1134"/>
      <c r="K10" s="1135"/>
      <c r="L10" s="1139">
        <f>IFERROR(VLOOKUP(Y5,【参考】数式用!$A$5:$J$37,MATCH(L9,【参考】数式用!$B$4:$J$4,0)+1,0),"")</f>
        <v>1.0999999999999999E-2</v>
      </c>
      <c r="M10" s="1140"/>
      <c r="N10" s="1140"/>
      <c r="O10" s="1140"/>
      <c r="P10" s="1141"/>
      <c r="Q10" s="1145">
        <f>SUM(B10,G10,L10)</f>
        <v>2.8999999999999998E-2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新加算Ⅳ</v>
      </c>
      <c r="W11" s="1075"/>
      <c r="X11" s="1075"/>
      <c r="Y11" s="1075"/>
      <c r="Z11" s="1075"/>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074">
        <f>IFERROR(VLOOKUP(Y5,【参考】数式用!$A$5:$AB$37,MATCH(V11,【参考】数式用!$B$4:$AB$4,0)+1,FALSE),"")</f>
        <v>5.4999999999999993E-2</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新加算Ⅴ(13)</v>
      </c>
      <c r="W14" s="1075"/>
      <c r="X14" s="1075"/>
      <c r="Y14" s="1075"/>
      <c r="Z14" s="1075"/>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f>IFERROR(VLOOKUP(Y5,【参考】数式用!$A$5:$AB$37,MATCH(V14,【参考】数式用!$B$4:$AB$4,0)+1,FALSE),"")</f>
        <v>4.0999999999999995E-2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40" t="str">
        <f>IFERROR(IF(L9="ベア加算","✓",""),"")</f>
        <v>✓</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40" t="str">
        <f>IFERROR(IF(B9="処遇加算Ⅲ","✓",""),"")</f>
        <v>✓</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40"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40" t="str">
        <f>IFERROR(IF(B9="処遇加算Ⅲ","✓",""),"")</f>
        <v>✓</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40"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v>
      </c>
      <c r="W37" s="1053" t="s">
        <v>15</v>
      </c>
      <c r="X37" s="1054"/>
      <c r="Y37" s="1054"/>
      <c r="Z37" s="1055"/>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処遇加算Ⅰ</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ベア加算</v>
      </c>
      <c r="BB48" s="1040"/>
      <c r="BC48" s="1040"/>
      <c r="BD48" s="1040"/>
      <c r="BE48" s="1041" t="str">
        <f>AS48&amp;AW48&amp;BA48</f>
        <v>処遇加算Ⅰ特定加算なしベア加算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254" t="str">
        <f>IFERROR(IF(G9="","",IF(AND(AH61=1,AH62=1,AH63=1),"特定加算Ⅰ",IF(AND(AH61=1,AH62=2,AH63=1),"特定加算Ⅱ",IF(OR(AH61=2,AH62=2,AH63=2),"特定加算なし","")))),"")</f>
        <v>特定加算なし</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新加算Ⅲ</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4.3999999999999997E-2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1.0999999999999999E-2</v>
      </c>
      <c r="R50" s="1177"/>
      <c r="S50" s="1177"/>
      <c r="T50" s="1177"/>
      <c r="U50" s="1183"/>
      <c r="V50" s="1145">
        <f>SUM(G50,L50,Q50)</f>
        <v>5.4999999999999993E-2</v>
      </c>
      <c r="W50" s="1146"/>
      <c r="X50" s="1146"/>
      <c r="Y50" s="1146"/>
      <c r="Z50" s="1146"/>
      <c r="AA50" s="1047"/>
      <c r="AB50" s="1047"/>
      <c r="AC50" s="1184">
        <f>IFERROR(VLOOKUP(Y5,【参考】数式用!$A$5:$AB$37,MATCH(AC49,【参考】数式用!$B$4:$AB$4,0)+1,FALSE),"")</f>
        <v>6.699999999999999E-2</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268400</v>
      </c>
      <c r="H51" s="1092"/>
      <c r="I51" s="1092"/>
      <c r="J51" s="1092"/>
      <c r="K51" s="55" t="s">
        <v>2117</v>
      </c>
      <c r="L51" s="1089">
        <f>IFERROR(ROUNDDOWN(ROUND(AM5*L50,0),0)*H53,"")</f>
        <v>0</v>
      </c>
      <c r="M51" s="1090"/>
      <c r="N51" s="1090"/>
      <c r="O51" s="1090"/>
      <c r="P51" s="55" t="s">
        <v>2117</v>
      </c>
      <c r="Q51" s="1091">
        <f>IFERROR(ROUNDDOWN(ROUND(AM5*Q50,0),0)*H53,"")</f>
        <v>67100</v>
      </c>
      <c r="R51" s="1092"/>
      <c r="S51" s="1092"/>
      <c r="T51" s="1092"/>
      <c r="U51" s="56" t="s">
        <v>2117</v>
      </c>
      <c r="V51" s="1192">
        <f>IFERROR(SUM(G51,L51,Q51),"")</f>
        <v>335500</v>
      </c>
      <c r="W51" s="1193"/>
      <c r="X51" s="1193"/>
      <c r="Y51" s="1193"/>
      <c r="Z51" s="57" t="s">
        <v>2117</v>
      </c>
      <c r="AB51" s="58"/>
      <c r="AC51" s="1091">
        <f>IFERROR(ROUNDDOWN(ROUND(AM5*AC50,0),0)*AD53,"")</f>
        <v>2043500</v>
      </c>
      <c r="AD51" s="1092"/>
      <c r="AE51" s="1092"/>
      <c r="AF51" s="1092"/>
      <c r="AG51" s="1092"/>
      <c r="AH51" s="56" t="s">
        <v>2117</v>
      </c>
      <c r="AS51" s="1042">
        <f>IFERROR(ROUNDDOWN(ROUND(AM5*(G50-B10),0),0)*H53,"")</f>
        <v>158600</v>
      </c>
      <c r="AT51" s="1042"/>
      <c r="AU51" s="1042"/>
      <c r="AV51" s="1042"/>
      <c r="AW51" s="1042">
        <f>IFERROR(ROUNDDOWN(ROUND(AM5*(L50-G10),0),0)*H53,"")</f>
        <v>0</v>
      </c>
      <c r="AX51" s="1042"/>
      <c r="AY51" s="1042"/>
      <c r="AZ51" s="1042"/>
      <c r="BA51" s="1042">
        <f>IFERROR(ROUNDDOWN(ROUND(AM5*(Q50-L10),0),0)*H53,"")</f>
        <v>0</v>
      </c>
      <c r="BB51" s="1042"/>
      <c r="BC51" s="1042"/>
      <c r="BD51" s="1042"/>
      <c r="BE51" s="1042">
        <f>IFERROR(ROUNDDOWN(ROUND(AM5*(AC50-Q10),0),0)*AD53,"")</f>
        <v>1159000</v>
      </c>
      <c r="BF51" s="1042"/>
      <c r="BG51" s="1042"/>
      <c r="BH51" s="1042"/>
      <c r="BI51" s="1042">
        <f>SUM(AS51:BH51)</f>
        <v>1317600</v>
      </c>
      <c r="BJ51" s="1042"/>
      <c r="BK51" s="1042"/>
      <c r="BL51" s="1042"/>
      <c r="BM51" s="141"/>
      <c r="BN51" s="1042">
        <f>IFERROR(ROUNDDOWN(ROUNDDOWN(ROUND(AM5*(VLOOKUP(Y5,【参考】数式用!$A$5:$AB$37,14,FALSE)),0),0)*AD53*0.5,0),"")</f>
        <v>838750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(134,200円/月)</v>
      </c>
      <c r="H52" s="1088"/>
      <c r="I52" s="1088"/>
      <c r="J52" s="1088"/>
      <c r="K52" s="1088"/>
      <c r="L52" s="1190" t="str">
        <f>IFERROR("("&amp;TEXT(L51/H53,"#,##0円")&amp;"/月)","")</f>
        <v>(0円/月)</v>
      </c>
      <c r="M52" s="1191"/>
      <c r="N52" s="1191"/>
      <c r="O52" s="1191"/>
      <c r="P52" s="1087"/>
      <c r="Q52" s="1088" t="str">
        <f>IFERROR("("&amp;TEXT(Q51/H53,"#,##0円")&amp;"/月)","")</f>
        <v>(33,550円/月)</v>
      </c>
      <c r="R52" s="1088"/>
      <c r="S52" s="1088"/>
      <c r="T52" s="1088"/>
      <c r="U52" s="1088"/>
      <c r="V52" s="1088" t="str">
        <f>IFERROR("("&amp;TEXT(V51/H53,"#,##0円")&amp;"/月)","")</f>
        <v>(167,750円/月)</v>
      </c>
      <c r="W52" s="1088"/>
      <c r="X52" s="1088"/>
      <c r="Y52" s="1088"/>
      <c r="Z52" s="1088"/>
      <c r="AB52" s="58"/>
      <c r="AC52" s="1190" t="str">
        <f>IFERROR("("&amp;TEXT(AC51/AD53,"#,##0円")&amp;"/月)","")</f>
        <v>(204,350円/月)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436">
        <f>IF(AND(B9&lt;&gt;"処遇加算なし",F15=4),IF(V21="✓",1,IF(V22="✓",2,"")),"")</f>
        <v>1</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43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43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436">
        <f>IF(AND(B9&lt;&gt;"処遇加算なし",F15=4),IF(V32="✓",1,IF(V33="✓",2,"")),"")</f>
        <v>2</v>
      </c>
      <c r="AA60" s="145"/>
      <c r="AB60" s="149"/>
      <c r="AC60" s="1046" t="s">
        <v>2380</v>
      </c>
      <c r="AD60" s="1046"/>
      <c r="AE60" s="1046"/>
      <c r="AF60" s="1046"/>
      <c r="AG60" s="1046"/>
      <c r="AH60" s="425">
        <f>IF(AND(F15&lt;&gt;4,F15&lt;&gt;5),0,IF(AW8="○",1,3))</f>
        <v>1</v>
      </c>
      <c r="AI60" s="153"/>
      <c r="AJ60" s="149"/>
      <c r="AK60" s="1046" t="s">
        <v>2380</v>
      </c>
      <c r="AL60" s="1046"/>
      <c r="AM60" s="1046"/>
      <c r="AN60" s="1046"/>
      <c r="AO60" s="1046"/>
      <c r="AP60" s="425">
        <f>IF(AW8="○",1,3)</f>
        <v>1</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43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43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436">
        <f>IF(AND(B9&lt;&gt;"処遇加算なし",F15=4),IF(V44="✓",1,IF(V45="✓",2,"")),"")</f>
        <v>2</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2326</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処遇加算Ⅲ特定加算なしベア加算なし</v>
      </c>
      <c r="AT1" s="1035"/>
      <c r="AU1" s="1035"/>
      <c r="AV1" s="1035"/>
      <c r="AW1" s="1035"/>
      <c r="AX1" s="1035"/>
      <c r="AY1" s="1035"/>
      <c r="AZ1" s="1035"/>
      <c r="BA1" s="1035"/>
      <c r="BB1" s="1035"/>
      <c r="BC1" s="1035"/>
      <c r="BD1" s="1035"/>
      <c r="BE1" s="1036"/>
      <c r="BF1" s="1033" t="str">
        <f>IFERROR(VLOOKUP(Y5,【参考】数式用!$AH$2:$AI$34,2,FALSE),"")</f>
        <v>就労継続支援Ａ型</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1334567892</v>
      </c>
      <c r="C5" s="1103"/>
      <c r="D5" s="1103"/>
      <c r="E5" s="1103"/>
      <c r="F5" s="1103"/>
      <c r="G5" s="1104" t="s">
        <v>2355</v>
      </c>
      <c r="H5" s="1104"/>
      <c r="I5" s="1104"/>
      <c r="J5" s="1105" t="s">
        <v>4</v>
      </c>
      <c r="K5" s="1105"/>
      <c r="L5" s="1105"/>
      <c r="M5" s="1106" t="s">
        <v>1182</v>
      </c>
      <c r="N5" s="1106"/>
      <c r="O5" s="1106"/>
      <c r="P5" s="1009" t="s">
        <v>2356</v>
      </c>
      <c r="Q5" s="1010"/>
      <c r="R5" s="1010"/>
      <c r="S5" s="1010"/>
      <c r="T5" s="1010"/>
      <c r="U5" s="1010"/>
      <c r="V5" s="1010"/>
      <c r="W5" s="1010"/>
      <c r="X5" s="1011"/>
      <c r="Y5" s="1086" t="s">
        <v>2257</v>
      </c>
      <c r="Z5" s="1086"/>
      <c r="AA5" s="1086"/>
      <c r="AB5" s="1086"/>
      <c r="AC5" s="1086"/>
      <c r="AD5" s="1086"/>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t="s">
        <v>232</v>
      </c>
      <c r="C9" s="1125"/>
      <c r="D9" s="1125"/>
      <c r="E9" s="1125"/>
      <c r="F9" s="1126"/>
      <c r="G9" s="1127" t="s">
        <v>11</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f>IFERROR(VLOOKUP(Y5,【参考】数式用!$A$5:$J$37,MATCH(B9,【参考】数式用!$B$4:$J$4,0)+1,0),"")</f>
        <v>2.3E-2</v>
      </c>
      <c r="C10" s="1134"/>
      <c r="D10" s="1134"/>
      <c r="E10" s="1134"/>
      <c r="F10" s="1135"/>
      <c r="G10" s="1133">
        <f>IFERROR(VLOOKUP(Y5,【参考】数式用!$A$5:$J$37,MATCH(G9,【参考】数式用!$B$4:$J$4,0)+1,0),"")</f>
        <v>0</v>
      </c>
      <c r="H10" s="1134"/>
      <c r="I10" s="1134"/>
      <c r="J10" s="1134"/>
      <c r="K10" s="1135"/>
      <c r="L10" s="1139">
        <f>IFERROR(VLOOKUP(Y5,【参考】数式用!$A$5:$J$37,MATCH(L9,【参考】数式用!$B$4:$J$4,0)+1,0),"")</f>
        <v>0</v>
      </c>
      <c r="M10" s="1140"/>
      <c r="N10" s="1140"/>
      <c r="O10" s="1140"/>
      <c r="P10" s="1141"/>
      <c r="Q10" s="1145">
        <f>SUM(B10,G10,L10)</f>
        <v>2.3E-2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新加算Ⅴ(11)</v>
      </c>
      <c r="W11" s="1075"/>
      <c r="X11" s="1075"/>
      <c r="Y11" s="1075"/>
      <c r="Z11" s="1075"/>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210">
        <f>IFERROR(VLOOKUP(Y5,【参考】数式用!$A$5:$AB$37,MATCH(V11,【参考】数式用!$B$4:$AB$4,0)+1,FALSE),"")</f>
        <v>0.05</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新加算Ⅴ(14)</v>
      </c>
      <c r="W14" s="1075"/>
      <c r="X14" s="1075"/>
      <c r="Y14" s="1075"/>
      <c r="Z14" s="1075"/>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f>IFERROR(VLOOKUP(Y5,【参考】数式用!$A$5:$AB$37,MATCH(V14,【参考】数式用!$B$4:$AB$4,0)+1,FALSE),"")</f>
        <v>3.2000000000000001E-2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9" t="str">
        <f>IFERROR(IF(B9="処遇加算Ⅲ","✓",""),"")</f>
        <v>✓</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9" t="str">
        <f>IFERROR(IF(B9="処遇加算Ⅲ","✓",""),"")</f>
        <v>✓</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処遇加算Ⅱ</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ベア加算</v>
      </c>
      <c r="BB48" s="1040"/>
      <c r="BC48" s="1040"/>
      <c r="BD48" s="1040"/>
      <c r="BE48" s="1041" t="str">
        <f>AS48&amp;AW48&amp;BA48</f>
        <v>処遇加算Ⅱ特定加算なしベア加算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処遇加算Ⅱ</v>
      </c>
      <c r="H49" s="1164"/>
      <c r="I49" s="1164"/>
      <c r="J49" s="1164"/>
      <c r="K49" s="1189"/>
      <c r="L49" s="1254" t="str">
        <f>IFERROR(IF(G9="","",IF(AND(AH61=1,AH62=1,AH63=1),"特定加算Ⅰ",IF(AND(AH61=1,AH62=2,AH63=1),"特定加算Ⅱ",IF(OR(AH61=2,AH62=2,AH63=2),"特定加算なし","")))),"")</f>
        <v>特定加算なし</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新加算Ⅳ</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4.1000000000000002E-2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1.2999999999999999E-2</v>
      </c>
      <c r="R50" s="1177"/>
      <c r="S50" s="1177"/>
      <c r="T50" s="1177"/>
      <c r="U50" s="1183"/>
      <c r="V50" s="1145">
        <f>SUM(G50,L50,Q50)</f>
        <v>5.3999999999999999E-2</v>
      </c>
      <c r="W50" s="1146"/>
      <c r="X50" s="1146"/>
      <c r="Y50" s="1146"/>
      <c r="Z50" s="1146"/>
      <c r="AA50" s="1047"/>
      <c r="AB50" s="1047"/>
      <c r="AC50" s="1184">
        <f>IFERROR(VLOOKUP(Y5,【参考】数式用!$A$5:$AB$37,MATCH(AC49,【参考】数式用!$B$4:$AB$4,0)+1,FALSE),"")</f>
        <v>6.3E-2</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282900</v>
      </c>
      <c r="H51" s="1092"/>
      <c r="I51" s="1092"/>
      <c r="J51" s="1092"/>
      <c r="K51" s="55" t="s">
        <v>2117</v>
      </c>
      <c r="L51" s="1089">
        <f>IFERROR(ROUNDDOWN(ROUND(AM5*L50,0),0)*H53,"")</f>
        <v>0</v>
      </c>
      <c r="M51" s="1090"/>
      <c r="N51" s="1090"/>
      <c r="O51" s="1090"/>
      <c r="P51" s="55" t="s">
        <v>2117</v>
      </c>
      <c r="Q51" s="1091">
        <f>IFERROR(ROUNDDOWN(ROUND(AM5*Q50,0),0)*H53,"")</f>
        <v>89700</v>
      </c>
      <c r="R51" s="1092"/>
      <c r="S51" s="1092"/>
      <c r="T51" s="1092"/>
      <c r="U51" s="56" t="s">
        <v>2117</v>
      </c>
      <c r="V51" s="1192">
        <f>IFERROR(SUM(G51,L51,Q51),"")</f>
        <v>372600</v>
      </c>
      <c r="W51" s="1193"/>
      <c r="X51" s="1193"/>
      <c r="Y51" s="1193"/>
      <c r="Z51" s="57" t="s">
        <v>2117</v>
      </c>
      <c r="AB51" s="58"/>
      <c r="AC51" s="1091">
        <f>IFERROR(ROUNDDOWN(ROUND(AM5*AC50,0),0)*AD53,"")</f>
        <v>2173500</v>
      </c>
      <c r="AD51" s="1092"/>
      <c r="AE51" s="1092"/>
      <c r="AF51" s="1092"/>
      <c r="AG51" s="1092"/>
      <c r="AH51" s="56" t="s">
        <v>2117</v>
      </c>
      <c r="AS51" s="1042">
        <f>IFERROR(ROUNDDOWN(ROUND(AM5*(G50-B10),0),0)*H53,"")</f>
        <v>124200</v>
      </c>
      <c r="AT51" s="1042"/>
      <c r="AU51" s="1042"/>
      <c r="AV51" s="1042"/>
      <c r="AW51" s="1042">
        <f>IFERROR(ROUNDDOWN(ROUND(AM5*(L50-G10),0),0)*H53,"")</f>
        <v>0</v>
      </c>
      <c r="AX51" s="1042"/>
      <c r="AY51" s="1042"/>
      <c r="AZ51" s="1042"/>
      <c r="BA51" s="1042">
        <f>IFERROR(ROUNDDOWN(ROUND(AM5*(Q50-L10),0),0)*H53,"")</f>
        <v>89700</v>
      </c>
      <c r="BB51" s="1042"/>
      <c r="BC51" s="1042"/>
      <c r="BD51" s="1042"/>
      <c r="BE51" s="1042">
        <f>IFERROR(ROUNDDOWN(ROUND(AM5*(AC50-Q10),0),0)*AD53,"")</f>
        <v>1380000</v>
      </c>
      <c r="BF51" s="1042"/>
      <c r="BG51" s="1042"/>
      <c r="BH51" s="1042"/>
      <c r="BI51" s="1042">
        <f>SUM(AS51:BH51)</f>
        <v>1593900</v>
      </c>
      <c r="BJ51" s="1042"/>
      <c r="BK51" s="1042"/>
      <c r="BL51" s="1042"/>
      <c r="BM51" s="141"/>
      <c r="BN51" s="1042">
        <f>IFERROR(ROUNDDOWN(ROUNDDOWN(ROUND(AM5*(VLOOKUP(Y5,【参考】数式用!$A$5:$AB$37,14,FALSE)),0),0)*AD53*0.5,0),"")</f>
        <v>1086750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(141,450円/月)</v>
      </c>
      <c r="H52" s="1088"/>
      <c r="I52" s="1088"/>
      <c r="J52" s="1088"/>
      <c r="K52" s="1088"/>
      <c r="L52" s="1190" t="str">
        <f>IFERROR("("&amp;TEXT(L51/H53,"#,##0円")&amp;"/月)","")</f>
        <v>(0円/月)</v>
      </c>
      <c r="M52" s="1191"/>
      <c r="N52" s="1191"/>
      <c r="O52" s="1191"/>
      <c r="P52" s="1087"/>
      <c r="Q52" s="1088" t="str">
        <f>IFERROR("("&amp;TEXT(Q51/H53,"#,##0円")&amp;"/月)","")</f>
        <v>(44,850円/月)</v>
      </c>
      <c r="R52" s="1088"/>
      <c r="S52" s="1088"/>
      <c r="T52" s="1088"/>
      <c r="U52" s="1088"/>
      <c r="V52" s="1088" t="str">
        <f>IFERROR("("&amp;TEXT(V51/H53,"#,##0円")&amp;"/月)","")</f>
        <v>(186,300円/月)</v>
      </c>
      <c r="W52" s="1088"/>
      <c r="X52" s="1088"/>
      <c r="Y52" s="1088"/>
      <c r="Z52" s="1088"/>
      <c r="AB52" s="58"/>
      <c r="AC52" s="1190" t="str">
        <f>IFERROR("("&amp;TEXT(AC51/AD53,"#,##0円")&amp;"/月)","")</f>
        <v>(217,350円/月)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426">
        <f>IF(AND(B9&lt;&gt;"処遇加算なし",F15=4),IF(V21="✓",1,IF(V22="✓",2,"")),"")</f>
        <v>2</v>
      </c>
      <c r="AA57" s="145"/>
      <c r="AB57" s="149"/>
      <c r="AC57" s="1038" t="s">
        <v>2377</v>
      </c>
      <c r="AD57" s="1038"/>
      <c r="AE57" s="1038"/>
      <c r="AF57" s="1038"/>
      <c r="AG57" s="1038"/>
      <c r="AH57" s="425">
        <f>IF(AND(F15&lt;&gt;4,F15&lt;&gt;5),0,IF(AT8="○",1,0))</f>
        <v>1</v>
      </c>
      <c r="AI57" s="153"/>
      <c r="AJ57" s="149"/>
      <c r="AK57" s="1038" t="s">
        <v>2377</v>
      </c>
      <c r="AL57" s="1038"/>
      <c r="AM57" s="1038"/>
      <c r="AN57" s="1038"/>
      <c r="AO57" s="1038"/>
      <c r="AP57" s="425">
        <f>IF(AT8="○",1,0)</f>
        <v>1</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42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42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426">
        <f>IF(AND(B9&lt;&gt;"処遇加算なし",F15=4),IF(V32="✓",1,IF(V33="✓",2,"")),"")</f>
        <v>2</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42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42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426">
        <f>IF(AND(B9&lt;&gt;"処遇加算なし",F15=4),IF(V44="✓",1,IF(V45="✓",2,"")),"")</f>
        <v>2</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2327</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194" t="s">
        <v>13</v>
      </c>
      <c r="BB50" s="1195"/>
      <c r="BC50" s="1195"/>
      <c r="BD50" s="1196"/>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2328</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4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40"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40"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40"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40"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2329</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2330</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2331</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2024-03-27T01:40:38Z</dcterms:modified>
</cp:coreProperties>
</file>