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C:\Users\1950537\Desktop\"/>
    </mc:Choice>
  </mc:AlternateContent>
  <xr:revisionPtr revIDLastSave="0" documentId="13_ncr:1_{4858EE0E-4875-4099-8F6B-6BFE3D70CE99}" xr6:coauthVersionLast="47" xr6:coauthVersionMax="47" xr10:uidLastSave="{00000000-0000-0000-0000-000000000000}"/>
  <bookViews>
    <workbookView xWindow="-110" yWindow="-110" windowWidth="19420" windowHeight="10300" tabRatio="599" activeTab="3" xr2:uid="{9508204B-AA9A-4EC1-936F-552A50BE7030}"/>
  </bookViews>
  <sheets>
    <sheet name="注意事項" sheetId="48" r:id="rId1"/>
    <sheet name="軽減制度" sheetId="47" r:id="rId2"/>
    <sheet name="申告書" sheetId="46" r:id="rId3"/>
    <sheet name="計算シート" sheetId="39" r:id="rId4"/>
  </sheets>
  <definedNames>
    <definedName name="_xlnm.Print_Area" localSheetId="3">計算シート!$D$505:$R$543</definedName>
    <definedName name="_xlnm.Print_Area" localSheetId="1">軽減制度!$A$1:$S$33</definedName>
    <definedName name="_xlnm.Print_Area" localSheetId="2">申告書!$A$1:$L$153</definedName>
    <definedName name="_xlnm.Print_Area" localSheetId="0">注意事項!$A$1:$J$78</definedName>
    <definedName name="トップ" localSheetId="3">計算シート!$D$1</definedName>
    <definedName name="仮計算" localSheetId="3">計算シート!$I$529</definedName>
    <definedName name="計算結果" localSheetId="3">計算シート!$E$158</definedName>
    <definedName name="資格情報" localSheetId="0">注意事項!$A$21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39" l="1"/>
  <c r="C22" i="39"/>
  <c r="D34" i="39" l="1"/>
  <c r="D27" i="39" l="1"/>
  <c r="C27" i="39"/>
  <c r="C26" i="39"/>
  <c r="C18" i="39" l="1"/>
  <c r="C30" i="39"/>
  <c r="J521" i="39"/>
  <c r="I521" i="39"/>
  <c r="H521" i="39"/>
  <c r="G521" i="39"/>
  <c r="F521" i="39"/>
  <c r="E521" i="39"/>
  <c r="J292" i="39"/>
  <c r="I292" i="39"/>
  <c r="H292" i="39"/>
  <c r="G292" i="39"/>
  <c r="F292" i="39"/>
  <c r="E292" i="39"/>
  <c r="J291" i="39"/>
  <c r="I291" i="39"/>
  <c r="H291" i="39"/>
  <c r="G291" i="39"/>
  <c r="F291" i="39"/>
  <c r="E291" i="39"/>
  <c r="J290" i="39"/>
  <c r="I290" i="39"/>
  <c r="H290" i="39"/>
  <c r="G290" i="39"/>
  <c r="F290" i="39"/>
  <c r="E290" i="39"/>
  <c r="C29" i="39"/>
  <c r="C28" i="39"/>
  <c r="E73" i="39" l="1"/>
  <c r="F72" i="39"/>
  <c r="G72" i="39"/>
  <c r="H72" i="39"/>
  <c r="I72" i="39"/>
  <c r="F73" i="39"/>
  <c r="G73" i="39"/>
  <c r="H73" i="39"/>
  <c r="I73" i="39"/>
  <c r="E72" i="39"/>
  <c r="N514" i="39" l="1"/>
  <c r="N511" i="39"/>
  <c r="N509" i="39" l="1"/>
  <c r="J33" i="39"/>
  <c r="J37" i="39" l="1"/>
  <c r="J519" i="39"/>
  <c r="I519" i="39"/>
  <c r="H519" i="39"/>
  <c r="G519" i="39"/>
  <c r="F519" i="39"/>
  <c r="E519" i="39"/>
  <c r="E517" i="39"/>
  <c r="D512" i="39"/>
  <c r="M506" i="39"/>
  <c r="AA112" i="39"/>
  <c r="AA111" i="39"/>
  <c r="AA110" i="39"/>
  <c r="Z108" i="39"/>
  <c r="K97" i="39"/>
  <c r="K96" i="39"/>
  <c r="K95" i="39"/>
  <c r="K94" i="39"/>
  <c r="K93" i="39"/>
  <c r="K92" i="39"/>
  <c r="K91" i="39"/>
  <c r="K90" i="39"/>
  <c r="K89" i="39"/>
  <c r="K88" i="39"/>
  <c r="K87" i="39"/>
  <c r="K86" i="39"/>
  <c r="W82" i="39"/>
  <c r="V82" i="39"/>
  <c r="U82" i="39"/>
  <c r="T82" i="39"/>
  <c r="W80" i="39"/>
  <c r="V80" i="39"/>
  <c r="U80" i="39"/>
  <c r="T80" i="39"/>
  <c r="O80" i="39"/>
  <c r="K80" i="39"/>
  <c r="O79" i="39"/>
  <c r="K79" i="39"/>
  <c r="W78" i="39"/>
  <c r="X78" i="39" s="1"/>
  <c r="O78" i="39"/>
  <c r="K78" i="39"/>
  <c r="O77" i="39"/>
  <c r="K77" i="39"/>
  <c r="W76" i="39"/>
  <c r="V76" i="39"/>
  <c r="U76" i="39"/>
  <c r="T76" i="39"/>
  <c r="O76" i="39"/>
  <c r="K76" i="39"/>
  <c r="O75" i="39"/>
  <c r="K75" i="39"/>
  <c r="W74" i="39"/>
  <c r="V74" i="39"/>
  <c r="U74" i="39"/>
  <c r="T74" i="39"/>
  <c r="O74" i="39"/>
  <c r="K74" i="39"/>
  <c r="O73" i="39"/>
  <c r="K73" i="39"/>
  <c r="J73" i="39"/>
  <c r="T72" i="39"/>
  <c r="O72" i="39"/>
  <c r="K72" i="39"/>
  <c r="J72" i="39"/>
  <c r="O71" i="39"/>
  <c r="K71" i="39"/>
  <c r="O70" i="39"/>
  <c r="K70" i="39"/>
  <c r="O69" i="39"/>
  <c r="K69" i="39"/>
  <c r="J65" i="39"/>
  <c r="Z66" i="39" s="1"/>
  <c r="I65" i="39"/>
  <c r="Y69" i="39" s="1"/>
  <c r="H65" i="39"/>
  <c r="X68" i="39" s="1"/>
  <c r="G65" i="39"/>
  <c r="W68" i="39" s="1"/>
  <c r="F65" i="39"/>
  <c r="V67" i="39" s="1"/>
  <c r="E65" i="39"/>
  <c r="U67" i="39" s="1"/>
  <c r="K63" i="39"/>
  <c r="K62" i="39"/>
  <c r="K61" i="39"/>
  <c r="K60" i="39"/>
  <c r="K59" i="39"/>
  <c r="K58" i="39"/>
  <c r="K57" i="39"/>
  <c r="K56" i="39"/>
  <c r="K55" i="39"/>
  <c r="K54" i="39"/>
  <c r="J54" i="39"/>
  <c r="I54" i="39"/>
  <c r="H54" i="39"/>
  <c r="G54" i="39"/>
  <c r="F54" i="39"/>
  <c r="E54" i="39"/>
  <c r="K53" i="39"/>
  <c r="J53" i="39"/>
  <c r="Z49" i="39" s="1"/>
  <c r="I53" i="39"/>
  <c r="Y48" i="39" s="1"/>
  <c r="H53" i="39"/>
  <c r="X49" i="39" s="1"/>
  <c r="G53" i="39"/>
  <c r="W47" i="39" s="1"/>
  <c r="F53" i="39"/>
  <c r="V50" i="39" s="1"/>
  <c r="E53" i="39"/>
  <c r="U50" i="39" s="1"/>
  <c r="K52" i="39"/>
  <c r="K46" i="39"/>
  <c r="K45" i="39"/>
  <c r="K44" i="39"/>
  <c r="K43" i="39"/>
  <c r="K42" i="39"/>
  <c r="K41" i="39"/>
  <c r="K40" i="39"/>
  <c r="K39" i="39"/>
  <c r="K38" i="39"/>
  <c r="K37" i="39"/>
  <c r="K36" i="39"/>
  <c r="D36" i="39"/>
  <c r="D69" i="39" s="1"/>
  <c r="K35" i="39"/>
  <c r="J50" i="39"/>
  <c r="I33" i="39"/>
  <c r="I50" i="39" s="1"/>
  <c r="H33" i="39"/>
  <c r="H50" i="39" s="1"/>
  <c r="G33" i="39"/>
  <c r="F33" i="39"/>
  <c r="F48" i="39" s="1"/>
  <c r="E33" i="39"/>
  <c r="C6" i="39"/>
  <c r="E16" i="39" s="1"/>
  <c r="C5" i="39"/>
  <c r="C4" i="39"/>
  <c r="C2" i="39"/>
  <c r="H16" i="39" l="1"/>
  <c r="H17" i="39" s="1"/>
  <c r="F16" i="39"/>
  <c r="F17" i="39" s="1"/>
  <c r="E17" i="39"/>
  <c r="G16" i="39"/>
  <c r="G17" i="39" s="1"/>
  <c r="J16" i="39"/>
  <c r="J17" i="39" s="1"/>
  <c r="I16" i="39"/>
  <c r="I17" i="39" s="1"/>
  <c r="J35" i="39"/>
  <c r="J36" i="39"/>
  <c r="J69" i="39" s="1"/>
  <c r="J34" i="39"/>
  <c r="U47" i="39"/>
  <c r="V40" i="39"/>
  <c r="V48" i="39"/>
  <c r="U43" i="39"/>
  <c r="Z56" i="39"/>
  <c r="J66" i="39" s="1"/>
  <c r="V44" i="39"/>
  <c r="W58" i="39"/>
  <c r="Z60" i="39"/>
  <c r="Z68" i="39"/>
  <c r="Y66" i="39"/>
  <c r="Y41" i="39"/>
  <c r="Z43" i="39"/>
  <c r="Y45" i="39"/>
  <c r="Z47" i="39"/>
  <c r="Y49" i="39"/>
  <c r="U57" i="39"/>
  <c r="V58" i="39"/>
  <c r="U56" i="39"/>
  <c r="W66" i="39"/>
  <c r="V68" i="39"/>
  <c r="J41" i="39"/>
  <c r="J42" i="39" s="1"/>
  <c r="W41" i="39"/>
  <c r="V43" i="39"/>
  <c r="W45" i="39"/>
  <c r="V47" i="39"/>
  <c r="W49" i="39"/>
  <c r="Z57" i="39"/>
  <c r="Y59" i="39"/>
  <c r="W65" i="39"/>
  <c r="G67" i="39" s="1"/>
  <c r="Z67" i="39"/>
  <c r="W69" i="39"/>
  <c r="J39" i="39"/>
  <c r="J40" i="39" s="1"/>
  <c r="I41" i="39"/>
  <c r="I42" i="39" s="1"/>
  <c r="W40" i="39"/>
  <c r="G61" i="39" s="1"/>
  <c r="Z42" i="39"/>
  <c r="W44" i="39"/>
  <c r="Z46" i="39"/>
  <c r="W48" i="39"/>
  <c r="Z50" i="39"/>
  <c r="V57" i="39"/>
  <c r="W59" i="39"/>
  <c r="V65" i="39"/>
  <c r="U68" i="39"/>
  <c r="V69" i="39"/>
  <c r="U40" i="39"/>
  <c r="Y46" i="39"/>
  <c r="U48" i="39"/>
  <c r="U58" i="39"/>
  <c r="Y67" i="39"/>
  <c r="U69" i="39"/>
  <c r="I48" i="39"/>
  <c r="Z40" i="39"/>
  <c r="J61" i="39" s="1"/>
  <c r="U41" i="39"/>
  <c r="V41" i="39"/>
  <c r="W42" i="39"/>
  <c r="Y43" i="39"/>
  <c r="Z44" i="39"/>
  <c r="U45" i="39"/>
  <c r="V45" i="39"/>
  <c r="W46" i="39"/>
  <c r="Y47" i="39"/>
  <c r="Z48" i="39"/>
  <c r="U49" i="39"/>
  <c r="V49" i="39"/>
  <c r="W50" i="39"/>
  <c r="W56" i="39"/>
  <c r="Y57" i="39"/>
  <c r="Z58" i="39"/>
  <c r="U59" i="39"/>
  <c r="V59" i="39"/>
  <c r="W60" i="39"/>
  <c r="Z65" i="39"/>
  <c r="J67" i="39" s="1"/>
  <c r="U66" i="39"/>
  <c r="V66" i="39"/>
  <c r="W67" i="39"/>
  <c r="Y68" i="39"/>
  <c r="Z69" i="39"/>
  <c r="E48" i="39"/>
  <c r="E50" i="39"/>
  <c r="X82" i="39"/>
  <c r="Y42" i="39"/>
  <c r="U44" i="39"/>
  <c r="Y50" i="39"/>
  <c r="Y56" i="39"/>
  <c r="Y60" i="39"/>
  <c r="U65" i="39"/>
  <c r="E67" i="39" s="1"/>
  <c r="I37" i="39"/>
  <c r="I39" i="39"/>
  <c r="I40" i="39" s="1"/>
  <c r="J48" i="39"/>
  <c r="Y40" i="39"/>
  <c r="I61" i="39" s="1"/>
  <c r="I62" i="39" s="1"/>
  <c r="Z41" i="39"/>
  <c r="U42" i="39"/>
  <c r="V42" i="39"/>
  <c r="W43" i="39"/>
  <c r="Y44" i="39"/>
  <c r="Z45" i="39"/>
  <c r="U46" i="39"/>
  <c r="V46" i="39"/>
  <c r="V56" i="39"/>
  <c r="W57" i="39"/>
  <c r="Y58" i="39"/>
  <c r="Z59" i="39"/>
  <c r="U60" i="39"/>
  <c r="V60" i="39"/>
  <c r="Y65" i="39"/>
  <c r="I67" i="39" s="1"/>
  <c r="H37" i="39"/>
  <c r="H48" i="39"/>
  <c r="X42" i="39"/>
  <c r="X46" i="39"/>
  <c r="X50" i="39"/>
  <c r="X65" i="39"/>
  <c r="H67" i="39" s="1"/>
  <c r="X69" i="39"/>
  <c r="X57" i="39"/>
  <c r="X59" i="39"/>
  <c r="X56" i="39"/>
  <c r="H66" i="39" s="1"/>
  <c r="X58" i="39"/>
  <c r="X60" i="39"/>
  <c r="X40" i="39"/>
  <c r="H61" i="39" s="1"/>
  <c r="X44" i="39"/>
  <c r="X48" i="39"/>
  <c r="X67" i="39"/>
  <c r="X41" i="39"/>
  <c r="X43" i="39"/>
  <c r="X45" i="39"/>
  <c r="X47" i="39"/>
  <c r="X66" i="39"/>
  <c r="E37" i="39"/>
  <c r="X80" i="39"/>
  <c r="G34" i="39"/>
  <c r="X76" i="39"/>
  <c r="E34" i="39"/>
  <c r="D20" i="39"/>
  <c r="G66" i="39"/>
  <c r="I34" i="39"/>
  <c r="H34" i="39"/>
  <c r="F34" i="39"/>
  <c r="E55" i="39"/>
  <c r="G41" i="39"/>
  <c r="G42" i="39" s="1"/>
  <c r="G39" i="39"/>
  <c r="G37" i="39"/>
  <c r="F35" i="39"/>
  <c r="F36" i="39"/>
  <c r="F69" i="39" s="1"/>
  <c r="H55" i="39"/>
  <c r="G35" i="39"/>
  <c r="G36" i="39"/>
  <c r="G69" i="39" s="1"/>
  <c r="I55" i="39"/>
  <c r="H35" i="39"/>
  <c r="H36" i="39"/>
  <c r="H69" i="39" s="1"/>
  <c r="F50" i="39"/>
  <c r="J55" i="39"/>
  <c r="I35" i="39"/>
  <c r="I36" i="39"/>
  <c r="I69" i="39" s="1"/>
  <c r="G50" i="39"/>
  <c r="E39" i="39"/>
  <c r="E40" i="39" s="1"/>
  <c r="E41" i="39"/>
  <c r="E42" i="39" s="1"/>
  <c r="E35" i="39"/>
  <c r="G48" i="39"/>
  <c r="F41" i="39"/>
  <c r="F42" i="39" s="1"/>
  <c r="F37" i="39"/>
  <c r="F39" i="39"/>
  <c r="F55" i="39"/>
  <c r="E36" i="39"/>
  <c r="E69" i="39" s="1"/>
  <c r="G55" i="39"/>
  <c r="O81" i="39"/>
  <c r="H41" i="39"/>
  <c r="H42" i="39" s="1"/>
  <c r="H39" i="39"/>
  <c r="H40" i="39" s="1"/>
  <c r="X74" i="39"/>
  <c r="J32" i="39" l="1"/>
  <c r="J64" i="39" s="1"/>
  <c r="I32" i="39"/>
  <c r="I64" i="39" s="1"/>
  <c r="I49" i="39"/>
  <c r="J49" i="39"/>
  <c r="I38" i="39"/>
  <c r="J38" i="39"/>
  <c r="F67" i="39"/>
  <c r="P45" i="39"/>
  <c r="P44" i="39"/>
  <c r="P43" i="39"/>
  <c r="P36" i="39"/>
  <c r="P41" i="39"/>
  <c r="P46" i="39"/>
  <c r="P35" i="39"/>
  <c r="P39" i="39"/>
  <c r="P37" i="39"/>
  <c r="H32" i="39"/>
  <c r="H64" i="39" s="1"/>
  <c r="Q44" i="39"/>
  <c r="Q40" i="39"/>
  <c r="Q45" i="39"/>
  <c r="Q39" i="39"/>
  <c r="Q37" i="39"/>
  <c r="Q42" i="39"/>
  <c r="Q36" i="39"/>
  <c r="Q41" i="39"/>
  <c r="Q46" i="39"/>
  <c r="Q35" i="39"/>
  <c r="Q38" i="39"/>
  <c r="I66" i="39"/>
  <c r="H49" i="39"/>
  <c r="F66" i="39"/>
  <c r="J20" i="39"/>
  <c r="F61" i="39"/>
  <c r="F32" i="39"/>
  <c r="E32" i="39"/>
  <c r="E66" i="39"/>
  <c r="E68" i="39" s="1"/>
  <c r="E61" i="39"/>
  <c r="H38" i="39"/>
  <c r="E49" i="39"/>
  <c r="G40" i="39"/>
  <c r="H20" i="39"/>
  <c r="G20" i="39"/>
  <c r="F20" i="39"/>
  <c r="I20" i="39"/>
  <c r="F40" i="39"/>
  <c r="J68" i="39"/>
  <c r="J71" i="39" s="1"/>
  <c r="Z33" i="39"/>
  <c r="Z29" i="39"/>
  <c r="Z25" i="39"/>
  <c r="Z35" i="39"/>
  <c r="Z27" i="39"/>
  <c r="Z34" i="39"/>
  <c r="Z31" i="39"/>
  <c r="Z32" i="39"/>
  <c r="Z28" i="39"/>
  <c r="Z26" i="39"/>
  <c r="Z30" i="39"/>
  <c r="W35" i="39"/>
  <c r="W27" i="39"/>
  <c r="W25" i="39"/>
  <c r="W31" i="39"/>
  <c r="W28" i="39"/>
  <c r="W26" i="39"/>
  <c r="W34" i="39"/>
  <c r="W30" i="39"/>
  <c r="W33" i="39"/>
  <c r="W29" i="39"/>
  <c r="W32" i="39"/>
  <c r="V34" i="39"/>
  <c r="V30" i="39"/>
  <c r="V31" i="39"/>
  <c r="V28" i="39"/>
  <c r="V35" i="39"/>
  <c r="V33" i="39"/>
  <c r="V29" i="39"/>
  <c r="V25" i="39"/>
  <c r="V32" i="39"/>
  <c r="V26" i="39"/>
  <c r="V27" i="39"/>
  <c r="Y31" i="39"/>
  <c r="Y32" i="39"/>
  <c r="Y28" i="39"/>
  <c r="Y26" i="39"/>
  <c r="Y34" i="39"/>
  <c r="Y30" i="39"/>
  <c r="Y29" i="39"/>
  <c r="Y35" i="39"/>
  <c r="Y27" i="39"/>
  <c r="Y33" i="39"/>
  <c r="Y25" i="39"/>
  <c r="I56" i="39" s="1"/>
  <c r="U34" i="39"/>
  <c r="U30" i="39"/>
  <c r="U26" i="39"/>
  <c r="U33" i="39"/>
  <c r="U29" i="39"/>
  <c r="U25" i="39"/>
  <c r="U32" i="39"/>
  <c r="U28" i="39"/>
  <c r="U35" i="39"/>
  <c r="U31" i="39"/>
  <c r="U27" i="39"/>
  <c r="G32" i="39"/>
  <c r="G64" i="39" s="1"/>
  <c r="X35" i="39"/>
  <c r="X33" i="39"/>
  <c r="X29" i="39"/>
  <c r="X27" i="39"/>
  <c r="X26" i="39"/>
  <c r="X25" i="39"/>
  <c r="H56" i="39" s="1"/>
  <c r="X31" i="39"/>
  <c r="X28" i="39"/>
  <c r="X32" i="39"/>
  <c r="X34" i="39"/>
  <c r="X30" i="39"/>
  <c r="G68" i="39"/>
  <c r="E38" i="39"/>
  <c r="F38" i="39"/>
  <c r="F49" i="39"/>
  <c r="H68" i="39"/>
  <c r="G38" i="39"/>
  <c r="G49" i="39"/>
  <c r="I68" i="39"/>
  <c r="E20" i="39"/>
  <c r="G62" i="39"/>
  <c r="I51" i="39"/>
  <c r="J51" i="39"/>
  <c r="H62" i="39"/>
  <c r="Q43" i="39" l="1"/>
  <c r="P38" i="39"/>
  <c r="P55" i="39" s="1"/>
  <c r="P40" i="39"/>
  <c r="P42" i="39"/>
  <c r="I196" i="39" s="1"/>
  <c r="E64" i="39"/>
  <c r="F68" i="39"/>
  <c r="F62" i="39"/>
  <c r="F64" i="39"/>
  <c r="E62" i="39"/>
  <c r="I43" i="39"/>
  <c r="I44" i="39" s="1"/>
  <c r="J43" i="39"/>
  <c r="J44" i="39" s="1"/>
  <c r="J13" i="39"/>
  <c r="I71" i="39"/>
  <c r="E70" i="39"/>
  <c r="E76" i="39" a="1"/>
  <c r="E76" i="39" s="1"/>
  <c r="H76" i="39" a="1"/>
  <c r="H76" i="39" s="1"/>
  <c r="I76" i="39" a="1"/>
  <c r="I76" i="39" s="1"/>
  <c r="J76" i="39" a="1"/>
  <c r="J76" i="39" s="1"/>
  <c r="G76" i="39" a="1"/>
  <c r="G76" i="39" s="1"/>
  <c r="F76" i="39" a="1"/>
  <c r="F76" i="39" s="1"/>
  <c r="H51" i="39"/>
  <c r="H43" i="39"/>
  <c r="H44" i="39" s="1"/>
  <c r="O40" i="39"/>
  <c r="O57" i="39" s="1"/>
  <c r="H298" i="39" s="1"/>
  <c r="O39" i="39"/>
  <c r="O38" i="39"/>
  <c r="O55" i="39" s="1"/>
  <c r="O36" i="39"/>
  <c r="O53" i="39" s="1"/>
  <c r="O41" i="39"/>
  <c r="O58" i="39" s="1"/>
  <c r="O46" i="39"/>
  <c r="O35" i="39"/>
  <c r="O52" i="39" s="1"/>
  <c r="O45" i="39"/>
  <c r="O44" i="39"/>
  <c r="O43" i="39"/>
  <c r="O37" i="39"/>
  <c r="O42" i="39"/>
  <c r="O59" i="39" s="1"/>
  <c r="G56" i="39"/>
  <c r="G57" i="39" s="1"/>
  <c r="G58" i="39" s="1"/>
  <c r="N46" i="39"/>
  <c r="N42" i="39"/>
  <c r="N38" i="39"/>
  <c r="N45" i="39"/>
  <c r="N41" i="39"/>
  <c r="N37" i="39"/>
  <c r="N44" i="39"/>
  <c r="N40" i="39"/>
  <c r="N36" i="39"/>
  <c r="N43" i="39"/>
  <c r="N39" i="39"/>
  <c r="N35" i="39"/>
  <c r="M37" i="39"/>
  <c r="M40" i="39"/>
  <c r="M43" i="39"/>
  <c r="M46" i="39"/>
  <c r="M39" i="39"/>
  <c r="M41" i="39"/>
  <c r="M44" i="39"/>
  <c r="M38" i="39"/>
  <c r="M36" i="39"/>
  <c r="M42" i="39"/>
  <c r="M45" i="39"/>
  <c r="M35" i="39"/>
  <c r="L41" i="39"/>
  <c r="L45" i="39"/>
  <c r="E98" i="39" a="1"/>
  <c r="E98" i="39" s="1"/>
  <c r="H143" i="39" s="1"/>
  <c r="L40" i="39"/>
  <c r="L37" i="39"/>
  <c r="L42" i="39"/>
  <c r="L46" i="39"/>
  <c r="L39" i="39"/>
  <c r="L44" i="39"/>
  <c r="L36" i="39"/>
  <c r="L38" i="39"/>
  <c r="E97" i="39" a="1"/>
  <c r="E97" i="39" s="1"/>
  <c r="L43" i="39"/>
  <c r="L35" i="39"/>
  <c r="E96" i="39" a="1"/>
  <c r="E96" i="39" s="1"/>
  <c r="I13" i="39" s="1"/>
  <c r="I222" i="39"/>
  <c r="I193" i="39"/>
  <c r="P73" i="39"/>
  <c r="I200" i="39"/>
  <c r="I229" i="39"/>
  <c r="P80" i="39"/>
  <c r="P76" i="39"/>
  <c r="I190" i="39"/>
  <c r="I219" i="39"/>
  <c r="P70" i="39"/>
  <c r="J189" i="39"/>
  <c r="J218" i="39"/>
  <c r="I189" i="39"/>
  <c r="I218" i="39"/>
  <c r="P69" i="39"/>
  <c r="I224" i="39"/>
  <c r="I195" i="39"/>
  <c r="P75" i="39"/>
  <c r="I192" i="39"/>
  <c r="I221" i="39"/>
  <c r="P72" i="39"/>
  <c r="I199" i="39"/>
  <c r="I228" i="39"/>
  <c r="P79" i="39"/>
  <c r="I194" i="39"/>
  <c r="I223" i="39"/>
  <c r="P74" i="39"/>
  <c r="I227" i="39"/>
  <c r="I198" i="39"/>
  <c r="P78" i="39"/>
  <c r="I191" i="39"/>
  <c r="I220" i="39"/>
  <c r="P71" i="39"/>
  <c r="I197" i="39"/>
  <c r="I226" i="39"/>
  <c r="P77" i="39"/>
  <c r="J56" i="39"/>
  <c r="E95" i="39" a="1"/>
  <c r="E95" i="39" s="1"/>
  <c r="F56" i="39"/>
  <c r="F57" i="39" s="1"/>
  <c r="H70" i="39"/>
  <c r="E43" i="39"/>
  <c r="F43" i="39"/>
  <c r="F44" i="39" s="1"/>
  <c r="N517" i="39" a="1"/>
  <c r="N517" i="39" s="1"/>
  <c r="G43" i="39"/>
  <c r="G44" i="39" s="1"/>
  <c r="J70" i="39"/>
  <c r="F70" i="39"/>
  <c r="G70" i="39"/>
  <c r="F71" i="39"/>
  <c r="H71" i="39"/>
  <c r="I70" i="39"/>
  <c r="E71" i="39"/>
  <c r="E520" i="39"/>
  <c r="G71" i="39"/>
  <c r="J520" i="39"/>
  <c r="I520" i="39"/>
  <c r="G520" i="39"/>
  <c r="G51" i="39"/>
  <c r="H520" i="39"/>
  <c r="F520" i="39"/>
  <c r="F51" i="39"/>
  <c r="E51" i="39"/>
  <c r="E56" i="39"/>
  <c r="E57" i="39" s="1"/>
  <c r="E58" i="39" s="1"/>
  <c r="E63" i="39" s="1"/>
  <c r="Q59" i="39"/>
  <c r="J300" i="39" s="1"/>
  <c r="Q62" i="39"/>
  <c r="P58" i="39"/>
  <c r="P53" i="39"/>
  <c r="Q60" i="39"/>
  <c r="J301" i="39" s="1"/>
  <c r="I46" i="39"/>
  <c r="I152" i="39" s="1"/>
  <c r="P52" i="39"/>
  <c r="Q52" i="39"/>
  <c r="P62" i="39"/>
  <c r="I257" i="39" s="1"/>
  <c r="I57" i="39"/>
  <c r="I58" i="39" s="1"/>
  <c r="H57" i="39"/>
  <c r="H58" i="39" s="1"/>
  <c r="P57" i="39"/>
  <c r="Q56" i="39"/>
  <c r="J297" i="39" s="1"/>
  <c r="P61" i="39"/>
  <c r="I256" i="39" s="1"/>
  <c r="P54" i="39"/>
  <c r="P60" i="39"/>
  <c r="P56" i="39"/>
  <c r="P63" i="39"/>
  <c r="I258" i="39" s="1"/>
  <c r="P59" i="39"/>
  <c r="I225" i="39" l="1"/>
  <c r="P47" i="39"/>
  <c r="I113" i="39" s="1"/>
  <c r="F58" i="39"/>
  <c r="H13" i="39"/>
  <c r="G13" i="39"/>
  <c r="F13" i="39"/>
  <c r="E13" i="39"/>
  <c r="K533" i="39"/>
  <c r="O56" i="39"/>
  <c r="O90" i="39" s="1"/>
  <c r="O47" i="39"/>
  <c r="H89" i="39" s="1"/>
  <c r="H46" i="39"/>
  <c r="O62" i="39"/>
  <c r="H257" i="39" s="1"/>
  <c r="O54" i="39"/>
  <c r="O63" i="39"/>
  <c r="H258" i="39" s="1"/>
  <c r="O60" i="39"/>
  <c r="O94" i="39" s="1"/>
  <c r="O61" i="39"/>
  <c r="H256" i="39" s="1"/>
  <c r="E44" i="39"/>
  <c r="J45" i="39" a="1"/>
  <c r="J45" i="39" s="1"/>
  <c r="G45" i="39" a="1"/>
  <c r="G45" i="39" s="1"/>
  <c r="F45" i="39" a="1"/>
  <c r="F45" i="39" s="1"/>
  <c r="E45" i="39" a="1"/>
  <c r="E45" i="39" s="1"/>
  <c r="I45" i="39" a="1"/>
  <c r="I45" i="39" s="1"/>
  <c r="H45" i="39" a="1"/>
  <c r="H45" i="39" s="1"/>
  <c r="H247" i="39"/>
  <c r="H293" i="39"/>
  <c r="I250" i="39"/>
  <c r="I296" i="39"/>
  <c r="I249" i="39"/>
  <c r="I295" i="39"/>
  <c r="H254" i="39"/>
  <c r="H300" i="39"/>
  <c r="H250" i="39"/>
  <c r="H296" i="39"/>
  <c r="I248" i="39"/>
  <c r="I294" i="39"/>
  <c r="I255" i="39"/>
  <c r="I301" i="39"/>
  <c r="I252" i="39"/>
  <c r="I298" i="39"/>
  <c r="H253" i="39"/>
  <c r="H299" i="39"/>
  <c r="I247" i="39"/>
  <c r="I293" i="39"/>
  <c r="H248" i="39"/>
  <c r="H294" i="39"/>
  <c r="I254" i="39"/>
  <c r="I300" i="39"/>
  <c r="I251" i="39"/>
  <c r="I297" i="39"/>
  <c r="I253" i="39"/>
  <c r="I299" i="39"/>
  <c r="J247" i="39"/>
  <c r="J293" i="39"/>
  <c r="P81" i="39"/>
  <c r="L71" i="39"/>
  <c r="L78" i="39"/>
  <c r="N63" i="39"/>
  <c r="N80" i="39"/>
  <c r="L56" i="39"/>
  <c r="L73" i="39"/>
  <c r="L77" i="39"/>
  <c r="M57" i="39"/>
  <c r="M74" i="39"/>
  <c r="Q61" i="39"/>
  <c r="M55" i="39"/>
  <c r="M72" i="39"/>
  <c r="Q63" i="39"/>
  <c r="Q55" i="39"/>
  <c r="J296" i="39" s="1"/>
  <c r="N55" i="39"/>
  <c r="N72" i="39"/>
  <c r="M58" i="39"/>
  <c r="M75" i="39"/>
  <c r="M56" i="39"/>
  <c r="M73" i="39"/>
  <c r="Q58" i="39"/>
  <c r="J299" i="39" s="1"/>
  <c r="Q54" i="39"/>
  <c r="J295" i="39" s="1"/>
  <c r="L72" i="39"/>
  <c r="M60" i="39"/>
  <c r="M77" i="39"/>
  <c r="M61" i="39"/>
  <c r="M78" i="39"/>
  <c r="L58" i="39"/>
  <c r="L75" i="39"/>
  <c r="M59" i="39"/>
  <c r="M76" i="39"/>
  <c r="O91" i="39"/>
  <c r="H252" i="39"/>
  <c r="N57" i="39"/>
  <c r="N74" i="39"/>
  <c r="M52" i="39"/>
  <c r="M69" i="39"/>
  <c r="M54" i="39"/>
  <c r="M71" i="39"/>
  <c r="L57" i="39"/>
  <c r="L74" i="39"/>
  <c r="N58" i="39"/>
  <c r="N75" i="39"/>
  <c r="M62" i="39"/>
  <c r="M79" i="39"/>
  <c r="N60" i="39"/>
  <c r="N77" i="39"/>
  <c r="N59" i="39"/>
  <c r="N76" i="39"/>
  <c r="M80" i="39"/>
  <c r="L69" i="39"/>
  <c r="M53" i="39"/>
  <c r="M70" i="39"/>
  <c r="N61" i="39"/>
  <c r="N78" i="39"/>
  <c r="N56" i="39"/>
  <c r="N73" i="39"/>
  <c r="L62" i="39"/>
  <c r="L79" i="39"/>
  <c r="Q57" i="39"/>
  <c r="J298" i="39" s="1"/>
  <c r="L63" i="39"/>
  <c r="L80" i="39"/>
  <c r="L70" i="39"/>
  <c r="N52" i="39"/>
  <c r="N69" i="39"/>
  <c r="N54" i="39"/>
  <c r="N71" i="39"/>
  <c r="N62" i="39"/>
  <c r="N79" i="39"/>
  <c r="L76" i="39"/>
  <c r="N53" i="39"/>
  <c r="N70" i="39"/>
  <c r="J46" i="39"/>
  <c r="Q53" i="39"/>
  <c r="J294" i="39" s="1"/>
  <c r="Q47" i="39"/>
  <c r="J89" i="39" s="1"/>
  <c r="O93" i="39"/>
  <c r="O87" i="39"/>
  <c r="O92" i="39"/>
  <c r="O86" i="39"/>
  <c r="R44" i="39"/>
  <c r="R43" i="39"/>
  <c r="L60" i="39"/>
  <c r="R46" i="39"/>
  <c r="R45" i="39"/>
  <c r="L61" i="39"/>
  <c r="M63" i="39"/>
  <c r="R40" i="39"/>
  <c r="O89" i="39"/>
  <c r="R41" i="39"/>
  <c r="R39" i="39"/>
  <c r="M47" i="39"/>
  <c r="F89" i="39" s="1"/>
  <c r="F46" i="39"/>
  <c r="R37" i="39"/>
  <c r="R42" i="39"/>
  <c r="I120" i="39"/>
  <c r="L54" i="39"/>
  <c r="L55" i="39"/>
  <c r="E46" i="39"/>
  <c r="R38" i="39"/>
  <c r="L59" i="39"/>
  <c r="L52" i="39"/>
  <c r="N47" i="39"/>
  <c r="I122" i="39"/>
  <c r="R36" i="39"/>
  <c r="L47" i="39"/>
  <c r="L53" i="39"/>
  <c r="R35" i="39"/>
  <c r="G46" i="39"/>
  <c r="P91" i="39"/>
  <c r="P97" i="39"/>
  <c r="P94" i="39"/>
  <c r="P93" i="39"/>
  <c r="I160" i="39"/>
  <c r="I164" i="39"/>
  <c r="I157" i="39"/>
  <c r="I153" i="39"/>
  <c r="P92" i="39"/>
  <c r="P89" i="39"/>
  <c r="I89" i="39"/>
  <c r="P88" i="39"/>
  <c r="H63" i="39"/>
  <c r="H78" i="39" s="1"/>
  <c r="P96" i="39"/>
  <c r="I88" i="39"/>
  <c r="I112" i="39"/>
  <c r="I85" i="39"/>
  <c r="I86" i="39"/>
  <c r="I121" i="39"/>
  <c r="P87" i="39"/>
  <c r="P95" i="39"/>
  <c r="P256" i="39"/>
  <c r="P64" i="39"/>
  <c r="P86" i="39"/>
  <c r="I47" i="39"/>
  <c r="P90" i="39"/>
  <c r="I114" i="39" l="1"/>
  <c r="O97" i="39"/>
  <c r="H85" i="39"/>
  <c r="J523" i="39"/>
  <c r="J526" i="39" s="1"/>
  <c r="F60" i="39"/>
  <c r="F75" i="39" s="1"/>
  <c r="F63" i="39"/>
  <c r="F78" i="39" s="1"/>
  <c r="I60" i="39"/>
  <c r="I75" i="39" s="1"/>
  <c r="I63" i="39"/>
  <c r="I78" i="39" s="1"/>
  <c r="G60" i="39"/>
  <c r="G75" i="39" s="1"/>
  <c r="G63" i="39"/>
  <c r="G78" i="39" s="1"/>
  <c r="H255" i="39"/>
  <c r="H301" i="39"/>
  <c r="G120" i="39"/>
  <c r="H88" i="39"/>
  <c r="H297" i="39"/>
  <c r="H251" i="39"/>
  <c r="H153" i="39"/>
  <c r="O95" i="39"/>
  <c r="N94" i="39"/>
  <c r="H122" i="39"/>
  <c r="H120" i="39"/>
  <c r="H121" i="39"/>
  <c r="H157" i="39"/>
  <c r="H47" i="39"/>
  <c r="H161" i="39" s="1"/>
  <c r="O64" i="39"/>
  <c r="H87" i="39" s="1"/>
  <c r="O96" i="39"/>
  <c r="H86" i="39"/>
  <c r="H164" i="39"/>
  <c r="H249" i="39"/>
  <c r="H160" i="39"/>
  <c r="H295" i="39"/>
  <c r="O88" i="39"/>
  <c r="I161" i="39"/>
  <c r="I154" i="39"/>
  <c r="J160" i="39"/>
  <c r="N89" i="39"/>
  <c r="N96" i="39"/>
  <c r="N93" i="39"/>
  <c r="N95" i="39"/>
  <c r="L97" i="39"/>
  <c r="M87" i="39"/>
  <c r="M93" i="39"/>
  <c r="M92" i="39"/>
  <c r="M88" i="39"/>
  <c r="M94" i="39"/>
  <c r="M91" i="39"/>
  <c r="L91" i="39"/>
  <c r="N90" i="39"/>
  <c r="N81" i="39"/>
  <c r="R62" i="39"/>
  <c r="R57" i="39"/>
  <c r="L96" i="39"/>
  <c r="R58" i="39"/>
  <c r="L95" i="39"/>
  <c r="N88" i="39"/>
  <c r="L92" i="39"/>
  <c r="N86" i="39"/>
  <c r="N64" i="39"/>
  <c r="L90" i="39"/>
  <c r="M96" i="39"/>
  <c r="N91" i="39"/>
  <c r="N92" i="39"/>
  <c r="M64" i="39"/>
  <c r="R60" i="39"/>
  <c r="M86" i="39"/>
  <c r="G47" i="39"/>
  <c r="R56" i="39"/>
  <c r="N97" i="39"/>
  <c r="M95" i="39"/>
  <c r="Q64" i="39"/>
  <c r="J87" i="39" s="1"/>
  <c r="M90" i="39"/>
  <c r="N87" i="39"/>
  <c r="M89" i="39"/>
  <c r="L88" i="39"/>
  <c r="L81" i="39"/>
  <c r="M81" i="39"/>
  <c r="J121" i="39"/>
  <c r="J120" i="39"/>
  <c r="R53" i="39"/>
  <c r="J47" i="39"/>
  <c r="E164" i="39"/>
  <c r="J164" i="39"/>
  <c r="F164" i="39"/>
  <c r="J157" i="39"/>
  <c r="G160" i="39"/>
  <c r="H60" i="39"/>
  <c r="H75" i="39" s="1"/>
  <c r="J88" i="39"/>
  <c r="J86" i="39"/>
  <c r="J85" i="39"/>
  <c r="J122" i="39"/>
  <c r="J153" i="39"/>
  <c r="E86" i="39"/>
  <c r="E99" i="39" a="1"/>
  <c r="E99" i="39" s="1"/>
  <c r="J143" i="39" s="1"/>
  <c r="R61" i="39"/>
  <c r="M97" i="39"/>
  <c r="L94" i="39"/>
  <c r="E88" i="39"/>
  <c r="F47" i="39"/>
  <c r="R63" i="39"/>
  <c r="E89" i="39"/>
  <c r="F88" i="39"/>
  <c r="F160" i="39"/>
  <c r="F157" i="39"/>
  <c r="F85" i="39"/>
  <c r="F153" i="39"/>
  <c r="F86" i="39"/>
  <c r="R54" i="39"/>
  <c r="L87" i="39"/>
  <c r="E160" i="39"/>
  <c r="E153" i="39"/>
  <c r="E157" i="39"/>
  <c r="E47" i="39"/>
  <c r="E85" i="39"/>
  <c r="L89" i="39"/>
  <c r="R55" i="39"/>
  <c r="L64" i="39"/>
  <c r="E147" i="39"/>
  <c r="R52" i="39"/>
  <c r="R59" i="39"/>
  <c r="G153" i="39"/>
  <c r="L86" i="39"/>
  <c r="G122" i="39"/>
  <c r="G88" i="39"/>
  <c r="G157" i="39"/>
  <c r="L93" i="39"/>
  <c r="G86" i="39"/>
  <c r="G121" i="39"/>
  <c r="G164" i="39"/>
  <c r="G89" i="39"/>
  <c r="G85" i="39"/>
  <c r="I59" i="39"/>
  <c r="I87" i="39"/>
  <c r="G59" i="39"/>
  <c r="P98" i="39"/>
  <c r="H59" i="39"/>
  <c r="F59" i="39"/>
  <c r="F74" i="39" l="1"/>
  <c r="J530" i="39"/>
  <c r="I74" i="39"/>
  <c r="G74" i="39"/>
  <c r="F81" i="39"/>
  <c r="F103" i="39" s="1"/>
  <c r="F84" i="39"/>
  <c r="F106" i="39" s="1"/>
  <c r="J528" i="39"/>
  <c r="J524" i="39"/>
  <c r="J525" i="39"/>
  <c r="J531" i="39"/>
  <c r="G77" i="39"/>
  <c r="I77" i="39"/>
  <c r="F83" i="39"/>
  <c r="F105" i="39" s="1"/>
  <c r="F523" i="39"/>
  <c r="H523" i="39"/>
  <c r="I523" i="39"/>
  <c r="I531" i="39" s="1"/>
  <c r="F77" i="39"/>
  <c r="F82" i="39"/>
  <c r="F104" i="39" s="1"/>
  <c r="F126" i="39" s="1"/>
  <c r="F168" i="39" s="1"/>
  <c r="I83" i="39"/>
  <c r="I105" i="39" s="1"/>
  <c r="G87" i="39"/>
  <c r="G523" i="39"/>
  <c r="E523" i="39"/>
  <c r="E531" i="39" s="1"/>
  <c r="H83" i="39"/>
  <c r="H105" i="39" s="1"/>
  <c r="O98" i="39"/>
  <c r="H154" i="39"/>
  <c r="J161" i="39"/>
  <c r="J154" i="39"/>
  <c r="J533" i="39"/>
  <c r="G161" i="39"/>
  <c r="G154" i="39"/>
  <c r="F161" i="39"/>
  <c r="F154" i="39"/>
  <c r="E161" i="39"/>
  <c r="E154" i="39"/>
  <c r="N98" i="39"/>
  <c r="F87" i="39"/>
  <c r="M98" i="39"/>
  <c r="H74" i="39"/>
  <c r="J62" i="39"/>
  <c r="J57" i="39"/>
  <c r="J58" i="39" s="1"/>
  <c r="Q80" i="39"/>
  <c r="Q97" i="39" s="1"/>
  <c r="Q75" i="39"/>
  <c r="Q92" i="39" s="1"/>
  <c r="Q72" i="39"/>
  <c r="Q89" i="39" s="1"/>
  <c r="Q71" i="39"/>
  <c r="Q88" i="39" s="1"/>
  <c r="Q79" i="39"/>
  <c r="Q96" i="39" s="1"/>
  <c r="Q78" i="39"/>
  <c r="Q95" i="39" s="1"/>
  <c r="Q74" i="39"/>
  <c r="Q91" i="39" s="1"/>
  <c r="Q70" i="39"/>
  <c r="Q87" i="39" s="1"/>
  <c r="Q76" i="39"/>
  <c r="Q93" i="39" s="1"/>
  <c r="Q77" i="39"/>
  <c r="Q94" i="39" s="1"/>
  <c r="Q73" i="39"/>
  <c r="Q90" i="39" s="1"/>
  <c r="Q69" i="39"/>
  <c r="I82" i="39"/>
  <c r="I81" i="39"/>
  <c r="I84" i="39"/>
  <c r="H77" i="39"/>
  <c r="G84" i="39"/>
  <c r="H81" i="39"/>
  <c r="H82" i="39"/>
  <c r="H84" i="39"/>
  <c r="G82" i="39"/>
  <c r="G83" i="39"/>
  <c r="G105" i="39" s="1"/>
  <c r="G81" i="39"/>
  <c r="E87" i="39"/>
  <c r="L98" i="39"/>
  <c r="F125" i="39" l="1"/>
  <c r="F167" i="39" s="1"/>
  <c r="F128" i="39"/>
  <c r="F170" i="39" s="1"/>
  <c r="F127" i="39"/>
  <c r="F169" i="39" s="1"/>
  <c r="I525" i="39"/>
  <c r="I530" i="39"/>
  <c r="I524" i="39"/>
  <c r="H524" i="39"/>
  <c r="H525" i="39"/>
  <c r="H531" i="39"/>
  <c r="H526" i="39"/>
  <c r="H528" i="39"/>
  <c r="H530" i="39"/>
  <c r="I526" i="39"/>
  <c r="I528" i="39"/>
  <c r="I127" i="39"/>
  <c r="I169" i="39" s="1"/>
  <c r="H127" i="39"/>
  <c r="H169" i="39" s="1"/>
  <c r="E524" i="39"/>
  <c r="E528" i="39"/>
  <c r="E525" i="39"/>
  <c r="E526" i="39"/>
  <c r="E530" i="39"/>
  <c r="G531" i="39"/>
  <c r="G524" i="39"/>
  <c r="G530" i="39"/>
  <c r="G528" i="39"/>
  <c r="G526" i="39"/>
  <c r="G525" i="39"/>
  <c r="F526" i="39"/>
  <c r="F531" i="39"/>
  <c r="F524" i="39"/>
  <c r="F530" i="39"/>
  <c r="F528" i="39"/>
  <c r="F525" i="39"/>
  <c r="Q81" i="39"/>
  <c r="Q86" i="39"/>
  <c r="Q98" i="39" s="1"/>
  <c r="J63" i="39"/>
  <c r="J78" i="39" s="1"/>
  <c r="G127" i="39"/>
  <c r="G169" i="39" s="1"/>
  <c r="H106" i="39"/>
  <c r="H128" i="39" s="1"/>
  <c r="H170" i="39" s="1"/>
  <c r="G106" i="39"/>
  <c r="G128" i="39" s="1"/>
  <c r="G170" i="39" s="1"/>
  <c r="I103" i="39"/>
  <c r="I125" i="39" s="1"/>
  <c r="I167" i="39" s="1"/>
  <c r="G103" i="39"/>
  <c r="G125" i="39" s="1"/>
  <c r="G167" i="39" s="1"/>
  <c r="H104" i="39"/>
  <c r="H126" i="39" s="1"/>
  <c r="H168" i="39" s="1"/>
  <c r="I104" i="39"/>
  <c r="I126" i="39" s="1"/>
  <c r="I168" i="39" s="1"/>
  <c r="H103" i="39"/>
  <c r="H125" i="39" s="1"/>
  <c r="H167" i="39" s="1"/>
  <c r="G104" i="39"/>
  <c r="G126" i="39" s="1"/>
  <c r="G168" i="39" s="1"/>
  <c r="I106" i="39"/>
  <c r="I128" i="39" s="1"/>
  <c r="I170" i="39" s="1"/>
  <c r="E104" i="39"/>
  <c r="E106" i="39"/>
  <c r="E103" i="39"/>
  <c r="E105" i="39"/>
  <c r="D525" i="39" l="1"/>
  <c r="D530" i="39"/>
  <c r="J60" i="39"/>
  <c r="J75" i="39" s="1"/>
  <c r="J59" i="39"/>
  <c r="J83" i="39" l="1"/>
  <c r="J105" i="39"/>
  <c r="J82" i="39"/>
  <c r="J84" i="39"/>
  <c r="J81" i="39"/>
  <c r="J77" i="39"/>
  <c r="J74" i="39"/>
  <c r="J127" i="39" l="1"/>
  <c r="J169" i="39" s="1"/>
  <c r="J103" i="39"/>
  <c r="J125" i="39" s="1"/>
  <c r="J167" i="39" s="1"/>
  <c r="J106" i="39"/>
  <c r="J128" i="39" s="1"/>
  <c r="J170" i="39" s="1"/>
  <c r="J104" i="39"/>
  <c r="J126" i="39" s="1"/>
  <c r="J168" i="39" s="1"/>
  <c r="I100" i="39" l="1"/>
  <c r="J100" i="39"/>
  <c r="P253" i="39"/>
  <c r="I108" i="39" l="1"/>
  <c r="I130" i="39" s="1"/>
  <c r="I176" i="39" s="1"/>
  <c r="I107" i="39"/>
  <c r="I129" i="39" s="1"/>
  <c r="I175" i="39" s="1"/>
  <c r="I109" i="39"/>
  <c r="I131" i="39" s="1"/>
  <c r="I177" i="39" s="1"/>
  <c r="I110" i="39"/>
  <c r="I111" i="39"/>
  <c r="I133" i="39" s="1"/>
  <c r="I179" i="39" s="1"/>
  <c r="I118" i="39"/>
  <c r="I117" i="39"/>
  <c r="I119" i="39"/>
  <c r="I116" i="39"/>
  <c r="J107" i="39"/>
  <c r="J111" i="39"/>
  <c r="J133" i="39" s="1"/>
  <c r="J179" i="39" s="1"/>
  <c r="J109" i="39"/>
  <c r="J131" i="39" s="1"/>
  <c r="J177" i="39" s="1"/>
  <c r="J110" i="39"/>
  <c r="J108" i="39"/>
  <c r="J119" i="39"/>
  <c r="J117" i="39"/>
  <c r="J118" i="39"/>
  <c r="J116" i="39"/>
  <c r="G114" i="39"/>
  <c r="E114" i="39"/>
  <c r="F114" i="39"/>
  <c r="J114" i="39"/>
  <c r="P255" i="39"/>
  <c r="P252" i="39"/>
  <c r="P249" i="39"/>
  <c r="Q247" i="39"/>
  <c r="P247" i="39"/>
  <c r="P254" i="39"/>
  <c r="P251" i="39"/>
  <c r="P248" i="39"/>
  <c r="J112" i="39" l="1"/>
  <c r="J129" i="39" s="1"/>
  <c r="J175" i="39" s="1"/>
  <c r="F113" i="39"/>
  <c r="F112" i="39"/>
  <c r="J113" i="39"/>
  <c r="J130" i="39" s="1"/>
  <c r="J176" i="39" s="1"/>
  <c r="E113" i="39"/>
  <c r="E112" i="39"/>
  <c r="G113" i="39"/>
  <c r="G112" i="39"/>
  <c r="I137" i="39"/>
  <c r="J137" i="39"/>
  <c r="H114" i="39"/>
  <c r="H112" i="39"/>
  <c r="H113" i="39"/>
  <c r="J115" i="39"/>
  <c r="J132" i="39" s="1"/>
  <c r="J178" i="39" s="1"/>
  <c r="I135" i="39"/>
  <c r="I136" i="39"/>
  <c r="E120" i="39"/>
  <c r="E122" i="39"/>
  <c r="I115" i="39"/>
  <c r="I132" i="39" s="1"/>
  <c r="E121" i="39"/>
  <c r="G249" i="39" l="1"/>
  <c r="G247" i="39"/>
  <c r="G255" i="39"/>
  <c r="J251" i="39"/>
  <c r="J254" i="39"/>
  <c r="J256" i="39"/>
  <c r="J252" i="39"/>
  <c r="J248" i="39"/>
  <c r="J253" i="39"/>
  <c r="N250" i="39"/>
  <c r="G250" i="39" s="1"/>
  <c r="Q250" i="39"/>
  <c r="J250" i="39" s="1"/>
  <c r="I140" i="39"/>
  <c r="I178" i="39"/>
  <c r="J136" i="39"/>
  <c r="J135" i="39"/>
  <c r="N256" i="39"/>
  <c r="G256" i="39" s="1"/>
  <c r="O256" i="39"/>
  <c r="N254" i="39"/>
  <c r="G254" i="39" s="1"/>
  <c r="N253" i="39"/>
  <c r="G253" i="39" s="1"/>
  <c r="N252" i="39"/>
  <c r="G252" i="39" s="1"/>
  <c r="N248" i="39"/>
  <c r="G248" i="39" s="1"/>
  <c r="N251" i="39"/>
  <c r="G251" i="39" s="1"/>
  <c r="O258" i="39"/>
  <c r="P258" i="39"/>
  <c r="Q258" i="39"/>
  <c r="J258" i="39" s="1"/>
  <c r="N257" i="39"/>
  <c r="G257" i="39" s="1"/>
  <c r="P257" i="39"/>
  <c r="O257" i="39"/>
  <c r="Q257" i="39"/>
  <c r="J257" i="39" s="1"/>
  <c r="N258" i="39"/>
  <c r="G258" i="39" s="1"/>
  <c r="O251" i="39"/>
  <c r="O248" i="39"/>
  <c r="P250" i="39"/>
  <c r="O250" i="39"/>
  <c r="Q249" i="39"/>
  <c r="J249" i="39" s="1"/>
  <c r="O249" i="39"/>
  <c r="O253" i="39"/>
  <c r="O252" i="39"/>
  <c r="O254" i="39"/>
  <c r="O247" i="39"/>
  <c r="Q255" i="39"/>
  <c r="J255" i="39" s="1"/>
  <c r="O255" i="39"/>
  <c r="J140" i="39"/>
  <c r="J138" i="39"/>
  <c r="P189" i="39"/>
  <c r="Q189" i="39"/>
  <c r="P222" i="39"/>
  <c r="Q222" i="39"/>
  <c r="P224" i="39"/>
  <c r="I138" i="39"/>
  <c r="Q282" i="39"/>
  <c r="P282" i="39"/>
  <c r="Q276" i="39"/>
  <c r="P276" i="39"/>
  <c r="P279" i="39"/>
  <c r="G299" i="39" l="1"/>
  <c r="G295" i="39"/>
  <c r="G298" i="39"/>
  <c r="G294" i="39"/>
  <c r="G296" i="39"/>
  <c r="G300" i="39"/>
  <c r="G293" i="39"/>
  <c r="G297" i="39"/>
  <c r="G301" i="39"/>
  <c r="J193" i="39"/>
  <c r="J192" i="39"/>
  <c r="J222" i="39"/>
  <c r="J223" i="39"/>
  <c r="J220" i="39"/>
  <c r="J283" i="39"/>
  <c r="J279" i="39"/>
  <c r="Q224" i="39"/>
  <c r="J224" i="39" s="1"/>
  <c r="I259" i="39"/>
  <c r="J286" i="39"/>
  <c r="Q278" i="39"/>
  <c r="J278" i="39" s="1"/>
  <c r="J285" i="39"/>
  <c r="J282" i="39"/>
  <c r="P259" i="39"/>
  <c r="I182" i="39" s="1"/>
  <c r="P283" i="39"/>
  <c r="P193" i="39"/>
  <c r="Q227" i="39"/>
  <c r="J227" i="39" s="1"/>
  <c r="P286" i="39"/>
  <c r="I286" i="39" s="1"/>
  <c r="P287" i="39"/>
  <c r="P219" i="39"/>
  <c r="P200" i="39"/>
  <c r="O259" i="39"/>
  <c r="H182" i="39" s="1"/>
  <c r="J259" i="39"/>
  <c r="Q219" i="39"/>
  <c r="J219" i="39" s="1"/>
  <c r="Q280" i="39"/>
  <c r="J280" i="39" s="1"/>
  <c r="P277" i="39"/>
  <c r="I277" i="39" s="1"/>
  <c r="P284" i="39"/>
  <c r="I284" i="39" s="1"/>
  <c r="Q277" i="39"/>
  <c r="J277" i="39" s="1"/>
  <c r="Q193" i="39"/>
  <c r="P281" i="39"/>
  <c r="I281" i="39" s="1"/>
  <c r="Q284" i="39"/>
  <c r="J284" i="39" s="1"/>
  <c r="Q281" i="39"/>
  <c r="J281" i="39" s="1"/>
  <c r="P285" i="39"/>
  <c r="I285" i="39" s="1"/>
  <c r="P280" i="39"/>
  <c r="I280" i="39" s="1"/>
  <c r="Q192" i="39"/>
  <c r="P192" i="39"/>
  <c r="Q200" i="39"/>
  <c r="J200" i="39" s="1"/>
  <c r="I279" i="39"/>
  <c r="P190" i="39"/>
  <c r="Q190" i="39"/>
  <c r="J190" i="39" s="1"/>
  <c r="P191" i="39"/>
  <c r="Q191" i="39"/>
  <c r="J191" i="39" s="1"/>
  <c r="I276" i="39"/>
  <c r="P223" i="39"/>
  <c r="Q223" i="39"/>
  <c r="Q225" i="39"/>
  <c r="J225" i="39" s="1"/>
  <c r="P225" i="39"/>
  <c r="P195" i="39"/>
  <c r="Q195" i="39"/>
  <c r="J195" i="39" s="1"/>
  <c r="P194" i="39"/>
  <c r="Q194" i="39"/>
  <c r="J194" i="39" s="1"/>
  <c r="Q196" i="39"/>
  <c r="J196" i="39" s="1"/>
  <c r="P196" i="39"/>
  <c r="P199" i="39"/>
  <c r="Q199" i="39"/>
  <c r="J199" i="39" s="1"/>
  <c r="J276" i="39"/>
  <c r="Q220" i="39"/>
  <c r="P220" i="39"/>
  <c r="Q197" i="39"/>
  <c r="J197" i="39" s="1"/>
  <c r="P197" i="39"/>
  <c r="I282" i="39"/>
  <c r="I283" i="39"/>
  <c r="Q218" i="39"/>
  <c r="P218" i="39"/>
  <c r="P226" i="39"/>
  <c r="Q226" i="39"/>
  <c r="J226" i="39" s="1"/>
  <c r="Q229" i="39"/>
  <c r="J229" i="39" s="1"/>
  <c r="P229" i="39"/>
  <c r="I287" i="39"/>
  <c r="Q221" i="39"/>
  <c r="J221" i="39" s="1"/>
  <c r="P221" i="39"/>
  <c r="I278" i="39"/>
  <c r="Q198" i="39"/>
  <c r="J198" i="39" s="1"/>
  <c r="P198" i="39"/>
  <c r="P228" i="39"/>
  <c r="Q228" i="39"/>
  <c r="J228" i="39" s="1"/>
  <c r="G259" i="39" l="1"/>
  <c r="H259" i="39"/>
  <c r="I288" i="39"/>
  <c r="J201" i="39"/>
  <c r="I201" i="39"/>
  <c r="J230" i="39"/>
  <c r="Q230" i="39"/>
  <c r="J181" i="39" s="1"/>
  <c r="Q201" i="39"/>
  <c r="J180" i="39" s="1"/>
  <c r="P201" i="39"/>
  <c r="I180" i="39" s="1"/>
  <c r="I230" i="39"/>
  <c r="I302" i="39" l="1"/>
  <c r="J302" i="39"/>
  <c r="H302" i="39"/>
  <c r="G302" i="39"/>
  <c r="J152" i="39" l="1"/>
  <c r="J156" i="39" s="1"/>
  <c r="I156" i="39" l="1"/>
  <c r="Q279" i="39"/>
  <c r="Q283" i="39"/>
  <c r="Q285" i="39"/>
  <c r="Q286" i="39"/>
  <c r="Q287" i="39"/>
  <c r="P227" i="39"/>
  <c r="P230" i="39" s="1"/>
  <c r="I181" i="39" s="1"/>
  <c r="J287" i="39"/>
  <c r="J288" i="39" s="1"/>
  <c r="P278" i="39"/>
  <c r="P288" i="39" s="1"/>
  <c r="I183" i="39" s="1"/>
  <c r="Q288" i="39" l="1"/>
  <c r="J183" i="39" s="1"/>
  <c r="E59" i="39" l="1"/>
  <c r="E60" i="39"/>
  <c r="E75" i="39" s="1"/>
  <c r="E77" i="39" l="1"/>
  <c r="E94" i="39" s="1"/>
  <c r="T112" i="39" s="1"/>
  <c r="U112" i="39" s="1"/>
  <c r="E78" i="39"/>
  <c r="G143" i="39" s="1" a="1"/>
  <c r="G143" i="39" s="1"/>
  <c r="E74" i="39"/>
  <c r="E143" i="39" s="1" a="1"/>
  <c r="E143" i="39" s="1"/>
  <c r="E84" i="39"/>
  <c r="E128" i="39" s="1"/>
  <c r="E170" i="39" s="1"/>
  <c r="E83" i="39"/>
  <c r="E127" i="39" s="1"/>
  <c r="E169" i="39" s="1"/>
  <c r="F143" i="39" a="1"/>
  <c r="F143" i="39" s="1"/>
  <c r="E81" i="39"/>
  <c r="E125" i="39" s="1"/>
  <c r="E82" i="39"/>
  <c r="E126" i="39" s="1"/>
  <c r="I143" i="39" l="1"/>
  <c r="T110" i="39"/>
  <c r="U110" i="39" s="1"/>
  <c r="T111" i="39"/>
  <c r="U111" i="39" s="1"/>
  <c r="E167" i="39"/>
  <c r="E168" i="39"/>
  <c r="G100" i="39" l="1"/>
  <c r="G118" i="39" s="1"/>
  <c r="E100" i="39"/>
  <c r="E110" i="39" s="1"/>
  <c r="F100" i="39"/>
  <c r="F111" i="39" s="1"/>
  <c r="F133" i="39" s="1"/>
  <c r="F179" i="39" s="1"/>
  <c r="H100" i="39"/>
  <c r="H119" i="39" s="1"/>
  <c r="G109" i="39" l="1"/>
  <c r="G131" i="39" s="1"/>
  <c r="G137" i="39" s="1"/>
  <c r="E111" i="39"/>
  <c r="E133" i="39" s="1"/>
  <c r="E179" i="39" s="1"/>
  <c r="E108" i="39"/>
  <c r="E130" i="39" s="1"/>
  <c r="E176" i="39" s="1"/>
  <c r="G117" i="39"/>
  <c r="G107" i="39"/>
  <c r="G129" i="39" s="1"/>
  <c r="G175" i="39" s="1"/>
  <c r="G111" i="39"/>
  <c r="G133" i="39" s="1"/>
  <c r="G179" i="39" s="1"/>
  <c r="E116" i="39"/>
  <c r="G108" i="39"/>
  <c r="G130" i="39" s="1"/>
  <c r="G176" i="39" s="1"/>
  <c r="G110" i="39"/>
  <c r="G115" i="39" s="1"/>
  <c r="G132" i="39" s="1"/>
  <c r="G119" i="39"/>
  <c r="G116" i="39"/>
  <c r="E118" i="39"/>
  <c r="E119" i="39"/>
  <c r="E109" i="39"/>
  <c r="E131" i="39" s="1"/>
  <c r="E137" i="39" s="1"/>
  <c r="E117" i="39"/>
  <c r="E107" i="39"/>
  <c r="E129" i="39" s="1"/>
  <c r="E135" i="39" s="1"/>
  <c r="F109" i="39"/>
  <c r="F131" i="39" s="1"/>
  <c r="F177" i="39" s="1"/>
  <c r="F108" i="39"/>
  <c r="F130" i="39" s="1"/>
  <c r="F176" i="39" s="1"/>
  <c r="F118" i="39"/>
  <c r="F119" i="39"/>
  <c r="F116" i="39"/>
  <c r="F120" i="39" s="1"/>
  <c r="F117" i="39"/>
  <c r="F121" i="39" s="1"/>
  <c r="F110" i="39"/>
  <c r="F115" i="39" s="1"/>
  <c r="F132" i="39" s="1"/>
  <c r="F107" i="39"/>
  <c r="F129" i="39" s="1"/>
  <c r="F175" i="39" s="1"/>
  <c r="H107" i="39"/>
  <c r="H129" i="39" s="1"/>
  <c r="H175" i="39" s="1"/>
  <c r="H117" i="39"/>
  <c r="H116" i="39"/>
  <c r="H108" i="39"/>
  <c r="H130" i="39" s="1"/>
  <c r="H176" i="39" s="1"/>
  <c r="H110" i="39"/>
  <c r="H118" i="39"/>
  <c r="K256" i="39" s="1" a="1"/>
  <c r="K256" i="39" s="1"/>
  <c r="M256" i="39" s="1"/>
  <c r="E149" i="39"/>
  <c r="I534" i="39" s="1"/>
  <c r="H111" i="39"/>
  <c r="H133" i="39" s="1"/>
  <c r="H179" i="39" s="1"/>
  <c r="H109" i="39"/>
  <c r="H131" i="39" s="1"/>
  <c r="H177" i="39" s="1"/>
  <c r="E115" i="39"/>
  <c r="E132" i="39" s="1"/>
  <c r="G177" i="39" l="1"/>
  <c r="E136" i="39"/>
  <c r="G135" i="39"/>
  <c r="G136" i="39"/>
  <c r="E177" i="39"/>
  <c r="K197" i="39" a="1"/>
  <c r="K197" i="39" s="1"/>
  <c r="M197" i="39" s="1"/>
  <c r="F137" i="39"/>
  <c r="F136" i="39"/>
  <c r="E175" i="39"/>
  <c r="K228" i="39" a="1"/>
  <c r="K228" i="39" s="1"/>
  <c r="M228" i="39" s="1"/>
  <c r="F228" i="39" s="1"/>
  <c r="F122" i="39"/>
  <c r="E522" i="39" s="1"/>
  <c r="K218" i="39" a="1"/>
  <c r="K218" i="39" s="1"/>
  <c r="M218" i="39" s="1"/>
  <c r="K221" i="39" a="1"/>
  <c r="K221" i="39" s="1"/>
  <c r="M221" i="39" s="1"/>
  <c r="F221" i="39" s="1"/>
  <c r="K250" i="39" a="1"/>
  <c r="K250" i="39" s="1"/>
  <c r="K247" i="39" a="1"/>
  <c r="K247" i="39" s="1"/>
  <c r="M247" i="39" s="1"/>
  <c r="F247" i="39" s="1"/>
  <c r="K191" i="39" a="1"/>
  <c r="K191" i="39" s="1"/>
  <c r="L191" i="39" s="1"/>
  <c r="E191" i="39" s="1"/>
  <c r="K248" i="39" a="1"/>
  <c r="K248" i="39" s="1"/>
  <c r="M248" i="39" s="1"/>
  <c r="F248" i="39" s="1"/>
  <c r="K249" i="39" a="1"/>
  <c r="K249" i="39" s="1"/>
  <c r="M249" i="39" s="1"/>
  <c r="K189" i="39" a="1"/>
  <c r="K189" i="39" s="1"/>
  <c r="L189" i="39" s="1"/>
  <c r="K220" i="39" a="1"/>
  <c r="K220" i="39" s="1"/>
  <c r="L220" i="39" s="1"/>
  <c r="E220" i="39" s="1"/>
  <c r="K223" i="39" a="1"/>
  <c r="K223" i="39" s="1"/>
  <c r="L223" i="39" s="1"/>
  <c r="E223" i="39" s="1"/>
  <c r="K227" i="39" a="1"/>
  <c r="K227" i="39" s="1"/>
  <c r="L227" i="39" s="1"/>
  <c r="E227" i="39" s="1"/>
  <c r="K219" i="39" a="1"/>
  <c r="K219" i="39" s="1"/>
  <c r="L219" i="39" s="1"/>
  <c r="E219" i="39" s="1"/>
  <c r="K190" i="39" a="1"/>
  <c r="K190" i="39" s="1"/>
  <c r="L190" i="39" s="1"/>
  <c r="E190" i="39" s="1"/>
  <c r="K192" i="39" a="1"/>
  <c r="K192" i="39" s="1"/>
  <c r="L192" i="39" s="1"/>
  <c r="E192" i="39" s="1"/>
  <c r="K229" i="39" a="1"/>
  <c r="K229" i="39" s="1"/>
  <c r="L229" i="39" s="1"/>
  <c r="E229" i="39" s="1"/>
  <c r="K280" i="39" a="1"/>
  <c r="K280" i="39" s="1"/>
  <c r="M280" i="39" s="1"/>
  <c r="K198" i="39" a="1"/>
  <c r="K198" i="39" s="1"/>
  <c r="L198" i="39" s="1"/>
  <c r="E198" i="39" s="1"/>
  <c r="K224" i="39" a="1"/>
  <c r="K224" i="39" s="1"/>
  <c r="L224" i="39" s="1"/>
  <c r="E224" i="39" s="1"/>
  <c r="K252" i="39" a="1"/>
  <c r="K252" i="39" s="1"/>
  <c r="M252" i="39" s="1"/>
  <c r="F252" i="39" s="1"/>
  <c r="K193" i="39" a="1"/>
  <c r="K193" i="39" s="1"/>
  <c r="L193" i="39" s="1"/>
  <c r="E193" i="39" s="1"/>
  <c r="K200" i="39" a="1"/>
  <c r="K200" i="39" s="1"/>
  <c r="L200" i="39" s="1"/>
  <c r="E200" i="39" s="1"/>
  <c r="K195" i="39" a="1"/>
  <c r="K195" i="39" s="1"/>
  <c r="L195" i="39" s="1"/>
  <c r="E195" i="39" s="1"/>
  <c r="K225" i="39" a="1"/>
  <c r="K225" i="39" s="1"/>
  <c r="L225" i="39" s="1"/>
  <c r="E225" i="39" s="1"/>
  <c r="K226" i="39" a="1"/>
  <c r="K226" i="39" s="1"/>
  <c r="L226" i="39" s="1"/>
  <c r="E226" i="39" s="1"/>
  <c r="K257" i="39" a="1"/>
  <c r="K257" i="39" s="1"/>
  <c r="L257" i="39" s="1"/>
  <c r="E257" i="39" s="1"/>
  <c r="K258" i="39" a="1"/>
  <c r="K258" i="39" s="1"/>
  <c r="L258" i="39" s="1"/>
  <c r="E258" i="39" s="1"/>
  <c r="K254" i="39" a="1"/>
  <c r="K254" i="39" s="1"/>
  <c r="M254" i="39" s="1"/>
  <c r="F254" i="39" s="1"/>
  <c r="K194" i="39" a="1"/>
  <c r="K194" i="39" s="1"/>
  <c r="L194" i="39" s="1"/>
  <c r="E194" i="39" s="1"/>
  <c r="K253" i="39" a="1"/>
  <c r="K253" i="39" s="1"/>
  <c r="M253" i="39" s="1"/>
  <c r="K255" i="39" a="1"/>
  <c r="K255" i="39" s="1"/>
  <c r="M255" i="39" s="1"/>
  <c r="K222" i="39" a="1"/>
  <c r="K222" i="39" s="1"/>
  <c r="M222" i="39" s="1"/>
  <c r="F222" i="39" s="1"/>
  <c r="K251" i="39" a="1"/>
  <c r="K251" i="39" s="1"/>
  <c r="M251" i="39" s="1"/>
  <c r="F251" i="39" s="1"/>
  <c r="K196" i="39" a="1"/>
  <c r="K196" i="39" s="1"/>
  <c r="L196" i="39" s="1"/>
  <c r="E196" i="39" s="1"/>
  <c r="F135" i="39"/>
  <c r="G140" i="39"/>
  <c r="G138" i="39"/>
  <c r="G178" i="39"/>
  <c r="F178" i="39"/>
  <c r="F138" i="39"/>
  <c r="F301" i="39" s="1"/>
  <c r="F140" i="39"/>
  <c r="H135" i="39"/>
  <c r="H115" i="39"/>
  <c r="H132" i="39" s="1"/>
  <c r="H137" i="39"/>
  <c r="H136" i="39"/>
  <c r="F253" i="39"/>
  <c r="K199" i="39" a="1"/>
  <c r="K199" i="39" s="1"/>
  <c r="O199" i="39" s="1"/>
  <c r="F249" i="39"/>
  <c r="O197" i="39"/>
  <c r="N197" i="39"/>
  <c r="G197" i="39" s="1"/>
  <c r="F255" i="39"/>
  <c r="F256" i="39"/>
  <c r="L250" i="39"/>
  <c r="E250" i="39" s="1"/>
  <c r="M250" i="39"/>
  <c r="F250" i="39" s="1"/>
  <c r="Q253" i="39"/>
  <c r="N247" i="39"/>
  <c r="N255" i="39"/>
  <c r="Q256" i="39"/>
  <c r="L256" i="39"/>
  <c r="E256" i="39" s="1"/>
  <c r="Q251" i="39"/>
  <c r="Q248" i="39"/>
  <c r="N249" i="39"/>
  <c r="L249" i="39"/>
  <c r="E249" i="39" s="1"/>
  <c r="Q252" i="39"/>
  <c r="Q254" i="39"/>
  <c r="E138" i="39"/>
  <c r="E140" i="39"/>
  <c r="E178" i="39"/>
  <c r="L197" i="39" l="1"/>
  <c r="E197" i="39" s="1"/>
  <c r="L218" i="39"/>
  <c r="L248" i="39"/>
  <c r="E248" i="39" s="1"/>
  <c r="L221" i="39"/>
  <c r="E221" i="39" s="1"/>
  <c r="L280" i="39"/>
  <c r="E280" i="39" s="1"/>
  <c r="L252" i="39"/>
  <c r="E252" i="39" s="1"/>
  <c r="D252" i="39" s="1"/>
  <c r="D266" i="39" s="1"/>
  <c r="F266" i="39" s="1"/>
  <c r="L228" i="39"/>
  <c r="E228" i="39" s="1"/>
  <c r="K286" i="39" a="1"/>
  <c r="K286" i="39" s="1"/>
  <c r="L286" i="39" s="1"/>
  <c r="K284" i="39" a="1"/>
  <c r="K284" i="39" s="1"/>
  <c r="K278" i="39" a="1"/>
  <c r="K278" i="39" s="1"/>
  <c r="L278" i="39" s="1"/>
  <c r="E278" i="39" s="1"/>
  <c r="N228" i="39"/>
  <c r="G228" i="39" s="1"/>
  <c r="O228" i="39"/>
  <c r="H228" i="39" s="1"/>
  <c r="N198" i="39"/>
  <c r="G198" i="39" s="1"/>
  <c r="M278" i="39"/>
  <c r="F278" i="39" s="1"/>
  <c r="O198" i="39"/>
  <c r="H198" i="39" s="1"/>
  <c r="N218" i="39"/>
  <c r="G218" i="39" s="1"/>
  <c r="O218" i="39"/>
  <c r="H218" i="39" s="1"/>
  <c r="O224" i="39"/>
  <c r="H224" i="39" s="1"/>
  <c r="N221" i="39"/>
  <c r="G221" i="39" s="1"/>
  <c r="O191" i="39"/>
  <c r="H191" i="39" s="1"/>
  <c r="O222" i="39"/>
  <c r="H222" i="39" s="1"/>
  <c r="N229" i="39"/>
  <c r="G229" i="39" s="1"/>
  <c r="O229" i="39"/>
  <c r="H229" i="39" s="1"/>
  <c r="O221" i="39"/>
  <c r="H221" i="39" s="1"/>
  <c r="N222" i="39"/>
  <c r="G222" i="39" s="1"/>
  <c r="O286" i="39"/>
  <c r="N286" i="39"/>
  <c r="G286" i="39" s="1"/>
  <c r="O193" i="39"/>
  <c r="H193" i="39" s="1"/>
  <c r="N199" i="39"/>
  <c r="G199" i="39" s="1"/>
  <c r="M229" i="39"/>
  <c r="F229" i="39" s="1"/>
  <c r="N193" i="39"/>
  <c r="G193" i="39" s="1"/>
  <c r="N280" i="39"/>
  <c r="G280" i="39" s="1"/>
  <c r="H197" i="39"/>
  <c r="N195" i="39"/>
  <c r="G195" i="39" s="1"/>
  <c r="O200" i="39"/>
  <c r="H200" i="39" s="1"/>
  <c r="O195" i="39"/>
  <c r="H195" i="39" s="1"/>
  <c r="O196" i="39"/>
  <c r="H196" i="39" s="1"/>
  <c r="O192" i="39"/>
  <c r="H192" i="39" s="1"/>
  <c r="O227" i="39"/>
  <c r="H227" i="39" s="1"/>
  <c r="O194" i="39"/>
  <c r="H194" i="39" s="1"/>
  <c r="O190" i="39"/>
  <c r="H190" i="39" s="1"/>
  <c r="O280" i="39"/>
  <c r="O225" i="39"/>
  <c r="H225" i="39" s="1"/>
  <c r="O220" i="39"/>
  <c r="H220" i="39" s="1"/>
  <c r="N200" i="39"/>
  <c r="G200" i="39" s="1"/>
  <c r="N196" i="39"/>
  <c r="G196" i="39" s="1"/>
  <c r="N226" i="39"/>
  <c r="G226" i="39" s="1"/>
  <c r="H199" i="39"/>
  <c r="O223" i="39"/>
  <c r="H223" i="39" s="1"/>
  <c r="O219" i="39"/>
  <c r="H219" i="39" s="1"/>
  <c r="O189" i="39"/>
  <c r="H189" i="39" s="1"/>
  <c r="O226" i="39"/>
  <c r="H226" i="39" s="1"/>
  <c r="N219" i="39"/>
  <c r="G219" i="39" s="1"/>
  <c r="N194" i="39"/>
  <c r="G194" i="39" s="1"/>
  <c r="N191" i="39"/>
  <c r="G191" i="39" s="1"/>
  <c r="N190" i="39"/>
  <c r="G190" i="39" s="1"/>
  <c r="N192" i="39"/>
  <c r="G192" i="39" s="1"/>
  <c r="N225" i="39"/>
  <c r="G225" i="39" s="1"/>
  <c r="N224" i="39"/>
  <c r="G224" i="39" s="1"/>
  <c r="N227" i="39"/>
  <c r="G227" i="39" s="1"/>
  <c r="N189" i="39"/>
  <c r="G189" i="39" s="1"/>
  <c r="N223" i="39"/>
  <c r="G223" i="39" s="1"/>
  <c r="N220" i="39"/>
  <c r="G220" i="39" s="1"/>
  <c r="N284" i="39"/>
  <c r="G284" i="39" s="1"/>
  <c r="M194" i="39"/>
  <c r="F194" i="39" s="1"/>
  <c r="K281" i="39" a="1"/>
  <c r="K281" i="39" s="1"/>
  <c r="K287" i="39" a="1"/>
  <c r="K287" i="39" s="1"/>
  <c r="K279" i="39" a="1"/>
  <c r="K279" i="39" s="1"/>
  <c r="K277" i="39" a="1"/>
  <c r="K277" i="39" s="1"/>
  <c r="K282" i="39" a="1"/>
  <c r="K282" i="39" s="1"/>
  <c r="K283" i="39" a="1"/>
  <c r="K283" i="39" s="1"/>
  <c r="H522" i="39"/>
  <c r="G522" i="39"/>
  <c r="K276" i="39" a="1"/>
  <c r="K276" i="39" s="1"/>
  <c r="O276" i="39" s="1"/>
  <c r="J522" i="39"/>
  <c r="F522" i="39"/>
  <c r="K285" i="39" a="1"/>
  <c r="K285" i="39" s="1"/>
  <c r="O285" i="39" s="1"/>
  <c r="M286" i="39"/>
  <c r="F286" i="39" s="1"/>
  <c r="I522" i="39"/>
  <c r="M225" i="39"/>
  <c r="F225" i="39" s="1"/>
  <c r="M224" i="39"/>
  <c r="F224" i="39" s="1"/>
  <c r="M195" i="39"/>
  <c r="F195" i="39" s="1"/>
  <c r="M257" i="39"/>
  <c r="F257" i="39" s="1"/>
  <c r="D257" i="39" s="1"/>
  <c r="D271" i="39" s="1"/>
  <c r="G271" i="39" s="1"/>
  <c r="F280" i="39"/>
  <c r="M200" i="39"/>
  <c r="F200" i="39" s="1"/>
  <c r="F293" i="39"/>
  <c r="F295" i="39"/>
  <c r="F299" i="39"/>
  <c r="F297" i="39"/>
  <c r="M192" i="39"/>
  <c r="F192" i="39" s="1"/>
  <c r="F298" i="39"/>
  <c r="M220" i="39"/>
  <c r="F220" i="39" s="1"/>
  <c r="M219" i="39"/>
  <c r="F219" i="39" s="1"/>
  <c r="F294" i="39"/>
  <c r="M227" i="39"/>
  <c r="F227" i="39" s="1"/>
  <c r="F296" i="39"/>
  <c r="M191" i="39"/>
  <c r="F191" i="39" s="1"/>
  <c r="M196" i="39"/>
  <c r="F196" i="39" s="1"/>
  <c r="M189" i="39"/>
  <c r="F189" i="39" s="1"/>
  <c r="M190" i="39"/>
  <c r="F190" i="39" s="1"/>
  <c r="M258" i="39"/>
  <c r="F258" i="39" s="1"/>
  <c r="D258" i="39" s="1"/>
  <c r="D272" i="39" s="1"/>
  <c r="I272" i="39" s="1"/>
  <c r="M226" i="39"/>
  <c r="F226" i="39" s="1"/>
  <c r="F300" i="39"/>
  <c r="M193" i="39"/>
  <c r="F193" i="39" s="1"/>
  <c r="M223" i="39"/>
  <c r="F223" i="39" s="1"/>
  <c r="F197" i="39"/>
  <c r="M198" i="39"/>
  <c r="F198" i="39" s="1"/>
  <c r="L247" i="39"/>
  <c r="E247" i="39" s="1"/>
  <c r="K230" i="39"/>
  <c r="L253" i="39"/>
  <c r="E253" i="39" s="1"/>
  <c r="D253" i="39" s="1"/>
  <c r="D267" i="39" s="1"/>
  <c r="G267" i="39" s="1"/>
  <c r="L254" i="39"/>
  <c r="E254" i="39" s="1"/>
  <c r="D254" i="39" s="1"/>
  <c r="D268" i="39" s="1"/>
  <c r="H268" i="39" s="1"/>
  <c r="L285" i="39"/>
  <c r="L222" i="39"/>
  <c r="E222" i="39" s="1"/>
  <c r="L255" i="39"/>
  <c r="E255" i="39" s="1"/>
  <c r="D255" i="39" s="1"/>
  <c r="D269" i="39" s="1"/>
  <c r="I269" i="39" s="1"/>
  <c r="K259" i="39"/>
  <c r="L251" i="39"/>
  <c r="E251" i="39" s="1"/>
  <c r="D251" i="39" s="1"/>
  <c r="D265" i="39" s="1"/>
  <c r="G265" i="39" s="1"/>
  <c r="L199" i="39"/>
  <c r="E199" i="39" s="1"/>
  <c r="K201" i="39"/>
  <c r="H140" i="39"/>
  <c r="H138" i="39"/>
  <c r="H178" i="39"/>
  <c r="D249" i="39"/>
  <c r="D263" i="39" s="1"/>
  <c r="I263" i="39" s="1"/>
  <c r="M199" i="39"/>
  <c r="F199" i="39" s="1"/>
  <c r="D256" i="39"/>
  <c r="D270" i="39" s="1"/>
  <c r="E270" i="39" s="1"/>
  <c r="Q259" i="39"/>
  <c r="J182" i="39" s="1"/>
  <c r="D250" i="39"/>
  <c r="D264" i="39" s="1"/>
  <c r="J264" i="39" s="1"/>
  <c r="D248" i="39"/>
  <c r="D262" i="39" s="1"/>
  <c r="F262" i="39" s="1"/>
  <c r="E286" i="39"/>
  <c r="E299" i="39"/>
  <c r="E296" i="39"/>
  <c r="E301" i="39"/>
  <c r="E298" i="39"/>
  <c r="E295" i="39"/>
  <c r="E297" i="39"/>
  <c r="E294" i="39"/>
  <c r="E300" i="39"/>
  <c r="E293" i="39"/>
  <c r="N259" i="39"/>
  <c r="G182" i="39" s="1"/>
  <c r="F218" i="39"/>
  <c r="E218" i="39"/>
  <c r="E189" i="39"/>
  <c r="O283" i="39" l="1"/>
  <c r="L283" i="39"/>
  <c r="E283" i="39" s="1"/>
  <c r="M284" i="39"/>
  <c r="F284" i="39" s="1"/>
  <c r="L284" i="39"/>
  <c r="E284" i="39" s="1"/>
  <c r="O277" i="39"/>
  <c r="L277" i="39"/>
  <c r="E277" i="39" s="1"/>
  <c r="O281" i="39"/>
  <c r="L281" i="39"/>
  <c r="E281" i="39" s="1"/>
  <c r="O282" i="39"/>
  <c r="L282" i="39"/>
  <c r="E282" i="39" s="1"/>
  <c r="O279" i="39"/>
  <c r="L279" i="39"/>
  <c r="E279" i="39" s="1"/>
  <c r="O287" i="39"/>
  <c r="L287" i="39"/>
  <c r="E287" i="39" s="1"/>
  <c r="D228" i="39"/>
  <c r="D242" i="39" s="1"/>
  <c r="I242" i="39" s="1"/>
  <c r="O284" i="39"/>
  <c r="N278" i="39"/>
  <c r="G278" i="39" s="1"/>
  <c r="O278" i="39"/>
  <c r="D221" i="39"/>
  <c r="D235" i="39" s="1"/>
  <c r="F235" i="39" s="1"/>
  <c r="D197" i="39"/>
  <c r="D211" i="39" s="1"/>
  <c r="G211" i="39" s="1"/>
  <c r="D229" i="39"/>
  <c r="D243" i="39" s="1"/>
  <c r="J243" i="39" s="1"/>
  <c r="H286" i="39"/>
  <c r="D286" i="39" s="1"/>
  <c r="D300" i="39" s="1"/>
  <c r="D193" i="39"/>
  <c r="D207" i="39" s="1"/>
  <c r="I207" i="39" s="1"/>
  <c r="D198" i="39"/>
  <c r="D212" i="39" s="1"/>
  <c r="H212" i="39" s="1"/>
  <c r="H285" i="39"/>
  <c r="G201" i="39"/>
  <c r="D222" i="39"/>
  <c r="D236" i="39" s="1"/>
  <c r="E236" i="39" s="1"/>
  <c r="H276" i="39"/>
  <c r="H278" i="39"/>
  <c r="H284" i="39"/>
  <c r="D194" i="39"/>
  <c r="D208" i="39" s="1"/>
  <c r="I208" i="39" s="1"/>
  <c r="D227" i="39"/>
  <c r="D241" i="39" s="1"/>
  <c r="E241" i="39" s="1"/>
  <c r="D220" i="39"/>
  <c r="D234" i="39" s="1"/>
  <c r="F234" i="39" s="1"/>
  <c r="D224" i="39"/>
  <c r="D238" i="39" s="1"/>
  <c r="J238" i="39" s="1"/>
  <c r="H281" i="39"/>
  <c r="D192" i="39"/>
  <c r="D206" i="39" s="1"/>
  <c r="H206" i="39" s="1"/>
  <c r="H277" i="39"/>
  <c r="H201" i="39"/>
  <c r="D191" i="39"/>
  <c r="D205" i="39" s="1"/>
  <c r="H205" i="39" s="1"/>
  <c r="D195" i="39"/>
  <c r="D209" i="39" s="1"/>
  <c r="I209" i="39" s="1"/>
  <c r="H279" i="39"/>
  <c r="D196" i="39"/>
  <c r="D210" i="39" s="1"/>
  <c r="J210" i="39" s="1"/>
  <c r="H287" i="39"/>
  <c r="H230" i="39"/>
  <c r="D219" i="39"/>
  <c r="D233" i="39" s="1"/>
  <c r="I233" i="39" s="1"/>
  <c r="O230" i="39"/>
  <c r="H181" i="39" s="1"/>
  <c r="D223" i="39"/>
  <c r="D237" i="39" s="1"/>
  <c r="I237" i="39" s="1"/>
  <c r="G230" i="39"/>
  <c r="N230" i="39"/>
  <c r="G181" i="39" s="1"/>
  <c r="D225" i="39"/>
  <c r="D239" i="39" s="1"/>
  <c r="E239" i="39" s="1"/>
  <c r="D226" i="39"/>
  <c r="D240" i="39" s="1"/>
  <c r="F240" i="39" s="1"/>
  <c r="D190" i="39"/>
  <c r="D204" i="39" s="1"/>
  <c r="E204" i="39" s="1"/>
  <c r="D200" i="39"/>
  <c r="D214" i="39" s="1"/>
  <c r="I214" i="39" s="1"/>
  <c r="H283" i="39"/>
  <c r="O201" i="39"/>
  <c r="H180" i="39" s="1"/>
  <c r="H282" i="39"/>
  <c r="H280" i="39"/>
  <c r="L276" i="39"/>
  <c r="N276" i="39"/>
  <c r="N201" i="39"/>
  <c r="G180" i="39" s="1"/>
  <c r="M279" i="39"/>
  <c r="F279" i="39" s="1"/>
  <c r="N279" i="39"/>
  <c r="G279" i="39" s="1"/>
  <c r="M281" i="39"/>
  <c r="F281" i="39" s="1"/>
  <c r="N281" i="39"/>
  <c r="G281" i="39" s="1"/>
  <c r="M283" i="39"/>
  <c r="F283" i="39" s="1"/>
  <c r="N283" i="39"/>
  <c r="G283" i="39" s="1"/>
  <c r="M285" i="39"/>
  <c r="F285" i="39" s="1"/>
  <c r="N285" i="39"/>
  <c r="G285" i="39" s="1"/>
  <c r="M282" i="39"/>
  <c r="F282" i="39" s="1"/>
  <c r="N282" i="39"/>
  <c r="G282" i="39" s="1"/>
  <c r="M287" i="39"/>
  <c r="F287" i="39" s="1"/>
  <c r="N287" i="39"/>
  <c r="G287" i="39" s="1"/>
  <c r="M277" i="39"/>
  <c r="F277" i="39" s="1"/>
  <c r="N277" i="39"/>
  <c r="G277" i="39" s="1"/>
  <c r="K288" i="39"/>
  <c r="M276" i="39"/>
  <c r="H266" i="39"/>
  <c r="F259" i="39"/>
  <c r="M259" i="39"/>
  <c r="F182" i="39" s="1"/>
  <c r="J266" i="39"/>
  <c r="F302" i="39"/>
  <c r="L230" i="39"/>
  <c r="E181" i="39" s="1"/>
  <c r="F230" i="39"/>
  <c r="L259" i="39"/>
  <c r="E182" i="39" s="1"/>
  <c r="M230" i="39"/>
  <c r="F181" i="39" s="1"/>
  <c r="L201" i="39"/>
  <c r="E180" i="39" s="1"/>
  <c r="E285" i="39"/>
  <c r="E266" i="39"/>
  <c r="G266" i="39"/>
  <c r="D199" i="39"/>
  <c r="D213" i="39" s="1"/>
  <c r="I213" i="39" s="1"/>
  <c r="I266" i="39"/>
  <c r="F267" i="39"/>
  <c r="J265" i="39"/>
  <c r="E267" i="39"/>
  <c r="J271" i="39"/>
  <c r="F265" i="39"/>
  <c r="E265" i="39"/>
  <c r="H265" i="39"/>
  <c r="E271" i="39"/>
  <c r="J267" i="39"/>
  <c r="I271" i="39"/>
  <c r="I265" i="39"/>
  <c r="I267" i="39"/>
  <c r="E263" i="39"/>
  <c r="H267" i="39"/>
  <c r="H269" i="39"/>
  <c r="F269" i="39"/>
  <c r="F201" i="39"/>
  <c r="H263" i="39"/>
  <c r="G263" i="39"/>
  <c r="J263" i="39"/>
  <c r="H271" i="39"/>
  <c r="F263" i="39"/>
  <c r="M201" i="39"/>
  <c r="F180" i="39" s="1"/>
  <c r="F271" i="39"/>
  <c r="E269" i="39"/>
  <c r="G269" i="39"/>
  <c r="E268" i="39"/>
  <c r="F268" i="39"/>
  <c r="J272" i="39"/>
  <c r="G272" i="39"/>
  <c r="F272" i="39"/>
  <c r="I268" i="39"/>
  <c r="H272" i="39"/>
  <c r="G268" i="39"/>
  <c r="J268" i="39"/>
  <c r="E272" i="39"/>
  <c r="J269" i="39"/>
  <c r="H270" i="39"/>
  <c r="I270" i="39"/>
  <c r="F270" i="39"/>
  <c r="G270" i="39"/>
  <c r="J270" i="39"/>
  <c r="F264" i="39"/>
  <c r="G264" i="39"/>
  <c r="I264" i="39"/>
  <c r="E264" i="39"/>
  <c r="H264" i="39"/>
  <c r="J262" i="39"/>
  <c r="H262" i="39"/>
  <c r="G262" i="39"/>
  <c r="E262" i="39"/>
  <c r="I262" i="39"/>
  <c r="E302" i="39"/>
  <c r="E259" i="39"/>
  <c r="D247" i="39"/>
  <c r="D218" i="39"/>
  <c r="E230" i="39"/>
  <c r="E201" i="39"/>
  <c r="D189" i="39"/>
  <c r="D278" i="39" l="1"/>
  <c r="D292" i="39" s="1"/>
  <c r="D284" i="39"/>
  <c r="D298" i="39" s="1"/>
  <c r="L288" i="39"/>
  <c r="E183" i="39" s="1"/>
  <c r="E276" i="39"/>
  <c r="E288" i="39" s="1"/>
  <c r="H242" i="39"/>
  <c r="J242" i="39"/>
  <c r="F242" i="39"/>
  <c r="G242" i="39"/>
  <c r="E242" i="39"/>
  <c r="O288" i="39"/>
  <c r="H183" i="39" s="1"/>
  <c r="E211" i="39"/>
  <c r="E235" i="39"/>
  <c r="J235" i="39"/>
  <c r="H211" i="39"/>
  <c r="E212" i="39"/>
  <c r="E243" i="39"/>
  <c r="I243" i="39"/>
  <c r="I235" i="39"/>
  <c r="G235" i="39"/>
  <c r="F211" i="39"/>
  <c r="I211" i="39"/>
  <c r="J211" i="39"/>
  <c r="H235" i="39"/>
  <c r="G212" i="39"/>
  <c r="H243" i="39"/>
  <c r="F243" i="39"/>
  <c r="G236" i="39"/>
  <c r="H236" i="39"/>
  <c r="G243" i="39"/>
  <c r="J208" i="39"/>
  <c r="D281" i="39"/>
  <c r="D295" i="39" s="1"/>
  <c r="F207" i="39"/>
  <c r="J207" i="39"/>
  <c r="H207" i="39"/>
  <c r="E207" i="39"/>
  <c r="G207" i="39"/>
  <c r="J236" i="39"/>
  <c r="F212" i="39"/>
  <c r="G241" i="39"/>
  <c r="J241" i="39"/>
  <c r="J212" i="39"/>
  <c r="I212" i="39"/>
  <c r="H234" i="39"/>
  <c r="H241" i="39"/>
  <c r="H208" i="39"/>
  <c r="I234" i="39"/>
  <c r="I236" i="39"/>
  <c r="G208" i="39"/>
  <c r="I238" i="39"/>
  <c r="F236" i="39"/>
  <c r="I241" i="39"/>
  <c r="G238" i="39"/>
  <c r="E234" i="39"/>
  <c r="E214" i="39"/>
  <c r="F238" i="39"/>
  <c r="H209" i="39"/>
  <c r="G209" i="39"/>
  <c r="H238" i="39"/>
  <c r="E238" i="39"/>
  <c r="G206" i="39"/>
  <c r="F204" i="39"/>
  <c r="E209" i="39"/>
  <c r="G204" i="39"/>
  <c r="F210" i="39"/>
  <c r="H210" i="39"/>
  <c r="I204" i="39"/>
  <c r="E205" i="39"/>
  <c r="H204" i="39"/>
  <c r="I206" i="39"/>
  <c r="F205" i="39"/>
  <c r="J205" i="39"/>
  <c r="J234" i="39"/>
  <c r="J206" i="39"/>
  <c r="H240" i="39"/>
  <c r="E208" i="39"/>
  <c r="F206" i="39"/>
  <c r="E206" i="39"/>
  <c r="J204" i="39"/>
  <c r="G234" i="39"/>
  <c r="H237" i="39"/>
  <c r="D279" i="39"/>
  <c r="D293" i="39" s="1"/>
  <c r="I205" i="39"/>
  <c r="F241" i="39"/>
  <c r="F214" i="39"/>
  <c r="F208" i="39"/>
  <c r="G205" i="39"/>
  <c r="G233" i="39"/>
  <c r="D277" i="39"/>
  <c r="D291" i="39" s="1"/>
  <c r="F233" i="39"/>
  <c r="J209" i="39"/>
  <c r="H288" i="39"/>
  <c r="G210" i="39"/>
  <c r="E210" i="39"/>
  <c r="F209" i="39"/>
  <c r="G239" i="39"/>
  <c r="E233" i="39"/>
  <c r="I239" i="39"/>
  <c r="J239" i="39"/>
  <c r="F239" i="39"/>
  <c r="F237" i="39"/>
  <c r="J233" i="39"/>
  <c r="H239" i="39"/>
  <c r="I210" i="39"/>
  <c r="H233" i="39"/>
  <c r="G237" i="39"/>
  <c r="D287" i="39"/>
  <c r="D301" i="39" s="1"/>
  <c r="J240" i="39"/>
  <c r="E240" i="39"/>
  <c r="D282" i="39"/>
  <c r="D296" i="39" s="1"/>
  <c r="D283" i="39"/>
  <c r="D297" i="39" s="1"/>
  <c r="I240" i="39"/>
  <c r="J214" i="39"/>
  <c r="D280" i="39"/>
  <c r="D294" i="39" s="1"/>
  <c r="G240" i="39"/>
  <c r="H214" i="39"/>
  <c r="E237" i="39"/>
  <c r="J237" i="39"/>
  <c r="G214" i="39"/>
  <c r="D285" i="39"/>
  <c r="D299" i="39" s="1"/>
  <c r="M288" i="39"/>
  <c r="F183" i="39" s="1"/>
  <c r="G276" i="39"/>
  <c r="G288" i="39" s="1"/>
  <c r="N288" i="39"/>
  <c r="G183" i="39" s="1"/>
  <c r="F276" i="39"/>
  <c r="H213" i="39"/>
  <c r="E213" i="39"/>
  <c r="G213" i="39"/>
  <c r="J213" i="39"/>
  <c r="F213" i="39"/>
  <c r="D261" i="39"/>
  <c r="D259" i="39"/>
  <c r="D201" i="39"/>
  <c r="D203" i="39"/>
  <c r="D230" i="39"/>
  <c r="D232" i="39"/>
  <c r="D276" i="39" l="1"/>
  <c r="F288" i="39"/>
  <c r="J173" i="39"/>
  <c r="I173" i="39"/>
  <c r="H173" i="39"/>
  <c r="G173" i="39"/>
  <c r="E173" i="39"/>
  <c r="F173" i="39"/>
  <c r="F261" i="39"/>
  <c r="F273" i="39" s="1"/>
  <c r="J261" i="39"/>
  <c r="J273" i="39" s="1"/>
  <c r="I261" i="39"/>
  <c r="I273" i="39" s="1"/>
  <c r="E261" i="39"/>
  <c r="E273" i="39" s="1"/>
  <c r="H261" i="39"/>
  <c r="H273" i="39" s="1"/>
  <c r="G261" i="39"/>
  <c r="G273" i="39" s="1"/>
  <c r="I232" i="39"/>
  <c r="I244" i="39" s="1"/>
  <c r="J232" i="39"/>
  <c r="J244" i="39" s="1"/>
  <c r="E232" i="39"/>
  <c r="E244" i="39" s="1"/>
  <c r="G232" i="39"/>
  <c r="G244" i="39" s="1"/>
  <c r="F232" i="39"/>
  <c r="F244" i="39" s="1"/>
  <c r="H232" i="39"/>
  <c r="H244" i="39" s="1"/>
  <c r="F172" i="39"/>
  <c r="J172" i="39"/>
  <c r="I172" i="39"/>
  <c r="G172" i="39"/>
  <c r="H172" i="39"/>
  <c r="E172" i="39"/>
  <c r="J203" i="39"/>
  <c r="J215" i="39" s="1"/>
  <c r="F203" i="39"/>
  <c r="F215" i="39" s="1"/>
  <c r="I203" i="39"/>
  <c r="I215" i="39" s="1"/>
  <c r="H203" i="39"/>
  <c r="H215" i="39" s="1"/>
  <c r="G203" i="39"/>
  <c r="G215" i="39" s="1"/>
  <c r="E203" i="39"/>
  <c r="E215" i="39" s="1"/>
  <c r="F171" i="39"/>
  <c r="I171" i="39"/>
  <c r="H171" i="39"/>
  <c r="J171" i="39"/>
  <c r="E171" i="39"/>
  <c r="G171" i="39"/>
  <c r="D290" i="39" l="1"/>
  <c r="D288" i="39"/>
  <c r="G152" i="39"/>
  <c r="G156" i="39" s="1"/>
  <c r="H152" i="39"/>
  <c r="H156" i="39" s="1"/>
  <c r="F152" i="39"/>
  <c r="F156" i="39" s="1"/>
  <c r="E152" i="39"/>
  <c r="E156" i="39" s="1"/>
  <c r="I174" i="39" l="1"/>
  <c r="I159" i="39" s="1"/>
  <c r="I163" i="39" s="1"/>
  <c r="H174" i="39"/>
  <c r="H159" i="39" s="1"/>
  <c r="H163" i="39" s="1"/>
  <c r="E174" i="39"/>
  <c r="E159" i="39" s="1"/>
  <c r="E163" i="39" s="1"/>
  <c r="G174" i="39"/>
  <c r="G159" i="39" s="1"/>
  <c r="G163" i="39" s="1"/>
  <c r="E146" i="39"/>
  <c r="F174" i="39"/>
  <c r="F159" i="39" s="1"/>
  <c r="F163" i="39" s="1"/>
  <c r="J174" i="39"/>
  <c r="J159" i="39" s="1"/>
  <c r="J163" i="39" s="1"/>
  <c r="H533" i="39" l="1"/>
  <c r="E148" i="39"/>
  <c r="H536" i="39" s="1"/>
  <c r="D148" i="3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<sst xmlns="http://schemas.openxmlformats.org/spreadsheetml/2006/main" count="1050" uniqueCount="706">
  <si>
    <t>６５歳以上</t>
    <rPh sb="2" eb="3">
      <t>サイ</t>
    </rPh>
    <rPh sb="3" eb="5">
      <t>イジョウ</t>
    </rPh>
    <phoneticPr fontId="2"/>
  </si>
  <si>
    <t>６５歳未満</t>
    <rPh sb="2" eb="3">
      <t>サイ</t>
    </rPh>
    <rPh sb="3" eb="5">
      <t>ミマン</t>
    </rPh>
    <phoneticPr fontId="2"/>
  </si>
  <si>
    <t>1,625,000円まで　</t>
    <rPh sb="9" eb="10">
      <t>エン</t>
    </rPh>
    <phoneticPr fontId="2"/>
  </si>
  <si>
    <t>給与等の収入金額</t>
    <rPh sb="0" eb="3">
      <t>キュウヨトウ</t>
    </rPh>
    <rPh sb="4" eb="6">
      <t>シュウニュウ</t>
    </rPh>
    <rPh sb="6" eb="8">
      <t>キンガク</t>
    </rPh>
    <phoneticPr fontId="2"/>
  </si>
  <si>
    <t>1,625,001円～1,800,000円まで　</t>
    <rPh sb="9" eb="10">
      <t>エン</t>
    </rPh>
    <rPh sb="20" eb="21">
      <t>エン</t>
    </rPh>
    <phoneticPr fontId="2"/>
  </si>
  <si>
    <t>1,800,001円～3,600,000円まで</t>
    <rPh sb="9" eb="10">
      <t>エン</t>
    </rPh>
    <rPh sb="20" eb="21">
      <t>エン</t>
    </rPh>
    <phoneticPr fontId="2"/>
  </si>
  <si>
    <t>3,600,001円～6,600,000円まで</t>
    <rPh sb="9" eb="10">
      <t>エン</t>
    </rPh>
    <rPh sb="20" eb="21">
      <t>エン</t>
    </rPh>
    <phoneticPr fontId="2"/>
  </si>
  <si>
    <t>6,600,001円～8,500,000円まで</t>
    <rPh sb="9" eb="10">
      <t>エン</t>
    </rPh>
    <rPh sb="20" eb="21">
      <t>エン</t>
    </rPh>
    <phoneticPr fontId="2"/>
  </si>
  <si>
    <t>収入金額×40％－100,000円</t>
    <rPh sb="0" eb="4">
      <t>シュウニュウキンガク</t>
    </rPh>
    <rPh sb="16" eb="17">
      <t>エン</t>
    </rPh>
    <phoneticPr fontId="2"/>
  </si>
  <si>
    <t>収入金額×20％＋440,000円</t>
    <rPh sb="0" eb="4">
      <t>シュウニュウキンガク</t>
    </rPh>
    <rPh sb="16" eb="17">
      <t>エン</t>
    </rPh>
    <phoneticPr fontId="2"/>
  </si>
  <si>
    <t>収入金額×10％＋1,100,00円</t>
    <rPh sb="0" eb="4">
      <t>シュウニュウキンガク</t>
    </rPh>
    <rPh sb="17" eb="18">
      <t>エン</t>
    </rPh>
    <phoneticPr fontId="2"/>
  </si>
  <si>
    <t>1,950,000円（上限）</t>
    <rPh sb="9" eb="10">
      <t>エン</t>
    </rPh>
    <rPh sb="11" eb="13">
      <t>ジョウゲン</t>
    </rPh>
    <phoneticPr fontId="2"/>
  </si>
  <si>
    <t>8,500,001円以上</t>
    <rPh sb="9" eb="10">
      <t>エン</t>
    </rPh>
    <rPh sb="10" eb="12">
      <t>イジョウ</t>
    </rPh>
    <phoneticPr fontId="2"/>
  </si>
  <si>
    <t>550,000円</t>
    <rPh sb="7" eb="8">
      <t>エン</t>
    </rPh>
    <phoneticPr fontId="2"/>
  </si>
  <si>
    <t>誕生日</t>
    <rPh sb="0" eb="3">
      <t>タンジョウビ</t>
    </rPh>
    <phoneticPr fontId="2"/>
  </si>
  <si>
    <t>公的年金等の収入金額の合計</t>
    <rPh sb="0" eb="2">
      <t>コウテキ</t>
    </rPh>
    <rPh sb="2" eb="4">
      <t>ネンキン</t>
    </rPh>
    <rPh sb="4" eb="5">
      <t>トウ</t>
    </rPh>
    <rPh sb="6" eb="8">
      <t>シュウニュウ</t>
    </rPh>
    <rPh sb="8" eb="10">
      <t>キンガク</t>
    </rPh>
    <rPh sb="11" eb="13">
      <t>ゴウケイ</t>
    </rPh>
    <phoneticPr fontId="2"/>
  </si>
  <si>
    <t>公的年金等に係る雑所得</t>
    <rPh sb="0" eb="2">
      <t>コウテキ</t>
    </rPh>
    <rPh sb="2" eb="4">
      <t>ネンキン</t>
    </rPh>
    <rPh sb="4" eb="5">
      <t>トウ</t>
    </rPh>
    <rPh sb="6" eb="7">
      <t>カカ</t>
    </rPh>
    <rPh sb="8" eb="11">
      <t>ザツショトク</t>
    </rPh>
    <phoneticPr fontId="2"/>
  </si>
  <si>
    <t>60万円以下</t>
    <rPh sb="2" eb="4">
      <t>マンエン</t>
    </rPh>
    <rPh sb="4" eb="6">
      <t>イカ</t>
    </rPh>
    <phoneticPr fontId="2"/>
  </si>
  <si>
    <t>1,000万円以上</t>
    <rPh sb="5" eb="7">
      <t>マンエン</t>
    </rPh>
    <rPh sb="7" eb="9">
      <t>イジョウ</t>
    </rPh>
    <phoneticPr fontId="2"/>
  </si>
  <si>
    <t>60万円超　　　　130万円未満</t>
    <rPh sb="2" eb="4">
      <t>マンエン</t>
    </rPh>
    <rPh sb="4" eb="5">
      <t>チョウ</t>
    </rPh>
    <rPh sb="12" eb="14">
      <t>マンエン</t>
    </rPh>
    <rPh sb="14" eb="16">
      <t>ミマン</t>
    </rPh>
    <phoneticPr fontId="2"/>
  </si>
  <si>
    <t>130万円以上　 410万円未満</t>
    <rPh sb="3" eb="5">
      <t>マンエン</t>
    </rPh>
    <rPh sb="5" eb="7">
      <t>イジョウ</t>
    </rPh>
    <rPh sb="12" eb="14">
      <t>マンエン</t>
    </rPh>
    <rPh sb="14" eb="16">
      <t>ミマン</t>
    </rPh>
    <phoneticPr fontId="2"/>
  </si>
  <si>
    <t>410万円以上　 770万円未満</t>
    <rPh sb="3" eb="5">
      <t>マンエン</t>
    </rPh>
    <rPh sb="5" eb="7">
      <t>イジョウ</t>
    </rPh>
    <rPh sb="12" eb="14">
      <t>マンエン</t>
    </rPh>
    <rPh sb="14" eb="16">
      <t>ミマン</t>
    </rPh>
    <phoneticPr fontId="2"/>
  </si>
  <si>
    <t>770万円以上　 1,000万円未満</t>
    <rPh sb="3" eb="5">
      <t>マンエン</t>
    </rPh>
    <rPh sb="5" eb="7">
      <t>イジョウ</t>
    </rPh>
    <rPh sb="14" eb="16">
      <t>マンエン</t>
    </rPh>
    <rPh sb="16" eb="18">
      <t>ミマン</t>
    </rPh>
    <phoneticPr fontId="2"/>
  </si>
  <si>
    <t>0円</t>
    <rPh sb="1" eb="2">
      <t>エン</t>
    </rPh>
    <phoneticPr fontId="2"/>
  </si>
  <si>
    <t>収入金額の合計×0.75　－　275,000円</t>
    <rPh sb="0" eb="2">
      <t>シュウニュウ</t>
    </rPh>
    <rPh sb="2" eb="4">
      <t>キンガク</t>
    </rPh>
    <rPh sb="5" eb="7">
      <t>ゴウケイ</t>
    </rPh>
    <rPh sb="22" eb="23">
      <t>エン</t>
    </rPh>
    <phoneticPr fontId="2"/>
  </si>
  <si>
    <t>収入金額の合計×0.85　－　685,000円</t>
    <rPh sb="0" eb="2">
      <t>シュウニュウ</t>
    </rPh>
    <rPh sb="2" eb="4">
      <t>キンガク</t>
    </rPh>
    <rPh sb="5" eb="7">
      <t>ゴウケイ</t>
    </rPh>
    <rPh sb="22" eb="23">
      <t>エン</t>
    </rPh>
    <phoneticPr fontId="2"/>
  </si>
  <si>
    <t>収入金額の合計×0.95　－　1,455,000円</t>
    <rPh sb="0" eb="2">
      <t>シュウニュウ</t>
    </rPh>
    <rPh sb="2" eb="4">
      <t>キンガク</t>
    </rPh>
    <rPh sb="5" eb="7">
      <t>ゴウケイ</t>
    </rPh>
    <rPh sb="24" eb="25">
      <t>エン</t>
    </rPh>
    <phoneticPr fontId="2"/>
  </si>
  <si>
    <t>収入金額の合計          －  1,955,000円</t>
    <rPh sb="29" eb="30">
      <t>エン</t>
    </rPh>
    <phoneticPr fontId="2"/>
  </si>
  <si>
    <t>収入金額の合計          － 1,955,000円</t>
    <rPh sb="28" eb="29">
      <t>エン</t>
    </rPh>
    <phoneticPr fontId="2"/>
  </si>
  <si>
    <t>110万円以下</t>
    <rPh sb="3" eb="5">
      <t>マンエン</t>
    </rPh>
    <rPh sb="5" eb="7">
      <t>イカ</t>
    </rPh>
    <phoneticPr fontId="2"/>
  </si>
  <si>
    <t>収入金額の合計          －   600,000円</t>
    <rPh sb="0" eb="29">
      <t>エン</t>
    </rPh>
    <phoneticPr fontId="2"/>
  </si>
  <si>
    <t>収入金額の合計          －   1,100,000円</t>
    <rPh sb="0" eb="31">
      <t>エン</t>
    </rPh>
    <phoneticPr fontId="2"/>
  </si>
  <si>
    <t>330万円以上　 410万円未満</t>
    <rPh sb="3" eb="5">
      <t>マンエン</t>
    </rPh>
    <rPh sb="5" eb="7">
      <t>イジョウ</t>
    </rPh>
    <rPh sb="12" eb="14">
      <t>マンエン</t>
    </rPh>
    <rPh sb="14" eb="16">
      <t>ミマン</t>
    </rPh>
    <phoneticPr fontId="2"/>
  </si>
  <si>
    <t>110万円超　　　330万円未満</t>
    <rPh sb="3" eb="5">
      <t>マンエン</t>
    </rPh>
    <rPh sb="5" eb="6">
      <t>チョウ</t>
    </rPh>
    <rPh sb="12" eb="14">
      <t>マンエン</t>
    </rPh>
    <rPh sb="14" eb="16">
      <t>ミマン</t>
    </rPh>
    <phoneticPr fontId="2"/>
  </si>
  <si>
    <t>専従者給与</t>
    <rPh sb="0" eb="3">
      <t>センジュウシャ</t>
    </rPh>
    <rPh sb="3" eb="5">
      <t>キュウヨ</t>
    </rPh>
    <phoneticPr fontId="2"/>
  </si>
  <si>
    <t>給与収入金額合計</t>
    <rPh sb="0" eb="2">
      <t>キュウヨ</t>
    </rPh>
    <rPh sb="2" eb="4">
      <t>シュウニュウ</t>
    </rPh>
    <rPh sb="4" eb="6">
      <t>キンガク</t>
    </rPh>
    <rPh sb="6" eb="8">
      <t>ゴウケイ</t>
    </rPh>
    <phoneticPr fontId="2"/>
  </si>
  <si>
    <t>下記の税率で計算中</t>
    <rPh sb="0" eb="2">
      <t>カキ</t>
    </rPh>
    <rPh sb="3" eb="5">
      <t>ゼイリツ</t>
    </rPh>
    <rPh sb="6" eb="9">
      <t>ケイサンチュウ</t>
    </rPh>
    <phoneticPr fontId="2"/>
  </si>
  <si>
    <t>支援分</t>
    <rPh sb="0" eb="2">
      <t>シエン</t>
    </rPh>
    <rPh sb="2" eb="3">
      <t>ブン</t>
    </rPh>
    <phoneticPr fontId="2"/>
  </si>
  <si>
    <t>合計</t>
    <rPh sb="0" eb="2">
      <t>ゴウケイ</t>
    </rPh>
    <phoneticPr fontId="2"/>
  </si>
  <si>
    <t>均等割</t>
    <rPh sb="0" eb="3">
      <t>キントウワリ</t>
    </rPh>
    <phoneticPr fontId="2"/>
  </si>
  <si>
    <t>平等割</t>
    <rPh sb="0" eb="2">
      <t>ビョウドウ</t>
    </rPh>
    <rPh sb="2" eb="3">
      <t>ワリ</t>
    </rPh>
    <phoneticPr fontId="2"/>
  </si>
  <si>
    <t>限度額</t>
    <rPh sb="0" eb="2">
      <t>ゲンド</t>
    </rPh>
    <rPh sb="2" eb="3">
      <t>ガク</t>
    </rPh>
    <phoneticPr fontId="2"/>
  </si>
  <si>
    <t>資格</t>
    <rPh sb="0" eb="2">
      <t>シカク</t>
    </rPh>
    <phoneticPr fontId="2"/>
  </si>
  <si>
    <t>75歳到達 1月前　算定期間月数</t>
    <rPh sb="2" eb="3">
      <t>サイ</t>
    </rPh>
    <rPh sb="3" eb="5">
      <t>トウタツ</t>
    </rPh>
    <rPh sb="7" eb="8">
      <t>ツキ</t>
    </rPh>
    <rPh sb="8" eb="9">
      <t>マエ</t>
    </rPh>
    <rPh sb="10" eb="14">
      <t>サンテイキカン</t>
    </rPh>
    <rPh sb="14" eb="16">
      <t>ツキスウ</t>
    </rPh>
    <phoneticPr fontId="2"/>
  </si>
  <si>
    <t>仮算定　期間月数</t>
    <rPh sb="0" eb="3">
      <t>カリサンテイ</t>
    </rPh>
    <rPh sb="4" eb="6">
      <t>キカン</t>
    </rPh>
    <rPh sb="6" eb="8">
      <t>ツキスウ</t>
    </rPh>
    <phoneticPr fontId="2"/>
  </si>
  <si>
    <t>所得割    （支援分）</t>
    <rPh sb="0" eb="2">
      <t>ショトク</t>
    </rPh>
    <rPh sb="2" eb="3">
      <t>ワリ</t>
    </rPh>
    <rPh sb="8" eb="10">
      <t>シエン</t>
    </rPh>
    <rPh sb="10" eb="11">
      <t>ブン</t>
    </rPh>
    <phoneticPr fontId="2"/>
  </si>
  <si>
    <t>均等割    （支援分）</t>
    <rPh sb="8" eb="10">
      <t>シエン</t>
    </rPh>
    <rPh sb="10" eb="11">
      <t>ブン</t>
    </rPh>
    <phoneticPr fontId="2"/>
  </si>
  <si>
    <t>軽減割合判定</t>
    <rPh sb="0" eb="2">
      <t>ケイゲン</t>
    </rPh>
    <rPh sb="2" eb="4">
      <t>ワリアイ</t>
    </rPh>
    <rPh sb="4" eb="6">
      <t>ハンテイ</t>
    </rPh>
    <phoneticPr fontId="2"/>
  </si>
  <si>
    <t>軽減割合</t>
    <rPh sb="0" eb="2">
      <t>ケイゲン</t>
    </rPh>
    <rPh sb="2" eb="4">
      <t>ワリアイ</t>
    </rPh>
    <phoneticPr fontId="2"/>
  </si>
  <si>
    <t>7割</t>
    <rPh sb="1" eb="2">
      <t>ワリ</t>
    </rPh>
    <phoneticPr fontId="2"/>
  </si>
  <si>
    <t>5割</t>
    <rPh sb="1" eb="2">
      <t>ワリ</t>
    </rPh>
    <phoneticPr fontId="2"/>
  </si>
  <si>
    <t>2割</t>
    <rPh sb="1" eb="2">
      <t>ワリ</t>
    </rPh>
    <phoneticPr fontId="2"/>
  </si>
  <si>
    <t>43万円＋10万円×（給与所得者等－1）</t>
    <rPh sb="2" eb="4">
      <t>マンエン</t>
    </rPh>
    <rPh sb="7" eb="9">
      <t>マンエン</t>
    </rPh>
    <rPh sb="11" eb="13">
      <t>キュウヨ</t>
    </rPh>
    <rPh sb="13" eb="16">
      <t>ショトクシャ</t>
    </rPh>
    <rPh sb="16" eb="17">
      <t>トウ</t>
    </rPh>
    <phoneticPr fontId="2"/>
  </si>
  <si>
    <t>給与所得者等数</t>
    <rPh sb="0" eb="2">
      <t>キュウヨ</t>
    </rPh>
    <rPh sb="2" eb="5">
      <t>ショトクシャ</t>
    </rPh>
    <rPh sb="5" eb="6">
      <t>トウ</t>
    </rPh>
    <rPh sb="6" eb="7">
      <t>スウ</t>
    </rPh>
    <phoneticPr fontId="2"/>
  </si>
  <si>
    <t>所得金額</t>
    <rPh sb="0" eb="4">
      <t>ショトクキンガク</t>
    </rPh>
    <phoneticPr fontId="2"/>
  </si>
  <si>
    <t>◆　その他所得</t>
    <rPh sb="4" eb="5">
      <t>タ</t>
    </rPh>
    <rPh sb="5" eb="7">
      <t>ショトク</t>
    </rPh>
    <phoneticPr fontId="2"/>
  </si>
  <si>
    <t>★該当</t>
    <rPh sb="1" eb="3">
      <t>ガイトウ</t>
    </rPh>
    <phoneticPr fontId="2"/>
  </si>
  <si>
    <t>●</t>
    <phoneticPr fontId="2"/>
  </si>
  <si>
    <t>入力</t>
    <rPh sb="0" eb="2">
      <t>ニュウリョク</t>
    </rPh>
    <phoneticPr fontId="2"/>
  </si>
  <si>
    <t>◆　仮算定期間　保険税額</t>
    <rPh sb="2" eb="3">
      <t>カリ</t>
    </rPh>
    <rPh sb="3" eb="5">
      <t>サンテイ</t>
    </rPh>
    <rPh sb="5" eb="7">
      <t>キカン</t>
    </rPh>
    <rPh sb="8" eb="11">
      <t>ホケンゼイ</t>
    </rPh>
    <rPh sb="11" eb="12">
      <t>ガク</t>
    </rPh>
    <phoneticPr fontId="2"/>
  </si>
  <si>
    <t>◆　軽減前　保険税額</t>
    <rPh sb="2" eb="5">
      <t>ケイゲンマエ</t>
    </rPh>
    <rPh sb="6" eb="9">
      <t>ホケンゼイ</t>
    </rPh>
    <rPh sb="9" eb="10">
      <t>ガク</t>
    </rPh>
    <phoneticPr fontId="2"/>
  </si>
  <si>
    <t>◆　軽減後　保険税額</t>
    <rPh sb="2" eb="4">
      <t>ケイゲン</t>
    </rPh>
    <rPh sb="4" eb="5">
      <t>ゴ</t>
    </rPh>
    <rPh sb="6" eb="8">
      <t>ホケン</t>
    </rPh>
    <rPh sb="8" eb="9">
      <t>ゼイ</t>
    </rPh>
    <rPh sb="9" eb="10">
      <t>ガク</t>
    </rPh>
    <phoneticPr fontId="2"/>
  </si>
  <si>
    <t>1月あたり</t>
    <rPh sb="1" eb="2">
      <t>ツキ</t>
    </rPh>
    <phoneticPr fontId="2"/>
  </si>
  <si>
    <t>未就学児に対する軽減</t>
    <rPh sb="0" eb="3">
      <t>ミシュウガク</t>
    </rPh>
    <rPh sb="5" eb="6">
      <t>タイ</t>
    </rPh>
    <rPh sb="8" eb="10">
      <t>ケイゲン</t>
    </rPh>
    <phoneticPr fontId="2"/>
  </si>
  <si>
    <t>未就学児　軽減</t>
    <rPh sb="0" eb="4">
      <t>ミシュウガクジ</t>
    </rPh>
    <rPh sb="5" eb="7">
      <t>ケイゲン</t>
    </rPh>
    <phoneticPr fontId="2"/>
  </si>
  <si>
    <t>本日</t>
    <rPh sb="0" eb="2">
      <t>ホンジツ</t>
    </rPh>
    <phoneticPr fontId="2"/>
  </si>
  <si>
    <t>低所得　旧被扶養者　軽減</t>
    <rPh sb="0" eb="3">
      <t>テイショトク</t>
    </rPh>
    <rPh sb="4" eb="5">
      <t>キュウ</t>
    </rPh>
    <rPh sb="5" eb="8">
      <t>ヒフヨウ</t>
    </rPh>
    <rPh sb="8" eb="9">
      <t>シャ</t>
    </rPh>
    <rPh sb="10" eb="12">
      <t>ケイゲン</t>
    </rPh>
    <phoneticPr fontId="2"/>
  </si>
  <si>
    <t>西暦</t>
    <rPh sb="0" eb="2">
      <t>セイレキ</t>
    </rPh>
    <phoneticPr fontId="2"/>
  </si>
  <si>
    <t>65歳未満</t>
    <rPh sb="2" eb="3">
      <t>サイ</t>
    </rPh>
    <rPh sb="3" eb="5">
      <t>ミマン</t>
    </rPh>
    <phoneticPr fontId="2"/>
  </si>
  <si>
    <t>65歳以上</t>
    <rPh sb="2" eb="3">
      <t>サイ</t>
    </rPh>
    <rPh sb="3" eb="5">
      <t>イジョウ</t>
    </rPh>
    <phoneticPr fontId="2"/>
  </si>
  <si>
    <t>◆　公的年金等に係る雑所得</t>
    <phoneticPr fontId="2"/>
  </si>
  <si>
    <t xml:space="preserve">  　　公的年金等に係る雑所得</t>
    <rPh sb="4" eb="6">
      <t>コウテキ</t>
    </rPh>
    <rPh sb="6" eb="9">
      <t>ネンキントウ</t>
    </rPh>
    <rPh sb="10" eb="11">
      <t>カカ</t>
    </rPh>
    <rPh sb="12" eb="15">
      <t>ザツジョトク</t>
    </rPh>
    <phoneticPr fontId="2"/>
  </si>
  <si>
    <t xml:space="preserve">      公的年金等に係る雑所得</t>
    <rPh sb="6" eb="8">
      <t>コウテキ</t>
    </rPh>
    <rPh sb="8" eb="11">
      <t>ネンキントウ</t>
    </rPh>
    <rPh sb="12" eb="13">
      <t>カカ</t>
    </rPh>
    <rPh sb="14" eb="17">
      <t>ザツジョトク</t>
    </rPh>
    <phoneticPr fontId="2"/>
  </si>
  <si>
    <t>◆　所得合計 （軽減判定）</t>
    <rPh sb="2" eb="4">
      <t>ショトク</t>
    </rPh>
    <rPh sb="4" eb="6">
      <t>ゴウケイ</t>
    </rPh>
    <phoneticPr fontId="2"/>
  </si>
  <si>
    <t>未就学児　就学時1月前</t>
    <rPh sb="0" eb="4">
      <t>ミシュウガクジ</t>
    </rPh>
    <rPh sb="5" eb="7">
      <t>シュウガク</t>
    </rPh>
    <rPh sb="7" eb="8">
      <t>ジ</t>
    </rPh>
    <rPh sb="9" eb="10">
      <t>ツキ</t>
    </rPh>
    <rPh sb="10" eb="11">
      <t>マエ</t>
    </rPh>
    <phoneticPr fontId="2"/>
  </si>
  <si>
    <t>再掲</t>
    <rPh sb="0" eb="2">
      <t>サイケイ</t>
    </rPh>
    <phoneticPr fontId="2"/>
  </si>
  <si>
    <t>◆　年金収入</t>
    <rPh sb="2" eb="4">
      <t>ネンキン</t>
    </rPh>
    <rPh sb="4" eb="6">
      <t>シュウニュウ</t>
    </rPh>
    <phoneticPr fontId="2"/>
  </si>
  <si>
    <t>低所得者世帯の軽減</t>
  </si>
  <si>
    <t>◆　給与収入</t>
    <rPh sb="2" eb="4">
      <t>キュウヨ</t>
    </rPh>
    <rPh sb="4" eb="6">
      <t>シュウニュウ</t>
    </rPh>
    <phoneticPr fontId="2"/>
  </si>
  <si>
    <t>介護保険分　期間判定</t>
    <rPh sb="0" eb="2">
      <t>カイゴ</t>
    </rPh>
    <rPh sb="2" eb="5">
      <t>ホケンブン</t>
    </rPh>
    <rPh sb="6" eb="8">
      <t>キカン</t>
    </rPh>
    <rPh sb="8" eb="10">
      <t>ハンテイ</t>
    </rPh>
    <phoneticPr fontId="2"/>
  </si>
  <si>
    <t>◆　低所得者世帯等の軽減　</t>
    <rPh sb="2" eb="6">
      <t>テイショトクシャ</t>
    </rPh>
    <rPh sb="6" eb="8">
      <t>セタイ</t>
    </rPh>
    <rPh sb="8" eb="9">
      <t>トウ</t>
    </rPh>
    <phoneticPr fontId="2"/>
  </si>
  <si>
    <t>均等割   （支援分）</t>
    <rPh sb="7" eb="9">
      <t>シエン</t>
    </rPh>
    <rPh sb="9" eb="10">
      <t>ブン</t>
    </rPh>
    <phoneticPr fontId="2"/>
  </si>
  <si>
    <t>平等割   （支援分）</t>
    <rPh sb="7" eb="9">
      <t>シエン</t>
    </rPh>
    <rPh sb="9" eb="10">
      <t>ブン</t>
    </rPh>
    <phoneticPr fontId="2"/>
  </si>
  <si>
    <t>非自発失業　反映(前)</t>
    <rPh sb="6" eb="8">
      <t>ハンエイ</t>
    </rPh>
    <rPh sb="9" eb="10">
      <t>マエ</t>
    </rPh>
    <phoneticPr fontId="2"/>
  </si>
  <si>
    <t>非自発失業　反映(後)</t>
    <rPh sb="6" eb="8">
      <t>ハンエイ</t>
    </rPh>
    <rPh sb="9" eb="10">
      <t>アト</t>
    </rPh>
    <phoneticPr fontId="2"/>
  </si>
  <si>
    <t>所得割   （支援分）</t>
    <rPh sb="7" eb="9">
      <t>シエン</t>
    </rPh>
    <rPh sb="9" eb="10">
      <t>ブン</t>
    </rPh>
    <phoneticPr fontId="2"/>
  </si>
  <si>
    <t>資格期間　</t>
    <rPh sb="0" eb="2">
      <t>シカク</t>
    </rPh>
    <rPh sb="2" eb="4">
      <t>キカン</t>
    </rPh>
    <phoneticPr fontId="2"/>
  </si>
  <si>
    <t>〇</t>
    <phoneticPr fontId="2"/>
  </si>
  <si>
    <t>前年中の所得がつぎの金額以下の世帯</t>
    <rPh sb="0" eb="2">
      <t>ゼンネン</t>
    </rPh>
    <rPh sb="1" eb="3">
      <t>ネンチュウ</t>
    </rPh>
    <rPh sb="4" eb="6">
      <t>ショトク</t>
    </rPh>
    <rPh sb="10" eb="12">
      <t>キンガク</t>
    </rPh>
    <rPh sb="12" eb="14">
      <t>イカ</t>
    </rPh>
    <rPh sb="15" eb="17">
      <t>セタイ</t>
    </rPh>
    <phoneticPr fontId="2"/>
  </si>
  <si>
    <t>軽減判定</t>
    <rPh sb="0" eb="2">
      <t>ケイゲン</t>
    </rPh>
    <rPh sb="2" eb="4">
      <t>ハンテイ</t>
    </rPh>
    <phoneticPr fontId="2"/>
  </si>
  <si>
    <t>公的年金等控除額　65歳判定</t>
    <rPh sb="0" eb="2">
      <t>コウテキ</t>
    </rPh>
    <rPh sb="2" eb="4">
      <t>ネンキン</t>
    </rPh>
    <rPh sb="4" eb="5">
      <t>トウ</t>
    </rPh>
    <rPh sb="5" eb="7">
      <t>コウジョ</t>
    </rPh>
    <rPh sb="7" eb="8">
      <t>ガク</t>
    </rPh>
    <rPh sb="11" eb="12">
      <t>サイ</t>
    </rPh>
    <rPh sb="12" eb="14">
      <t>ハンテイ</t>
    </rPh>
    <phoneticPr fontId="2"/>
  </si>
  <si>
    <t>←　実際の計算式　　国税庁ホームページ</t>
    <rPh sb="2" eb="4">
      <t>ジッサイ</t>
    </rPh>
    <rPh sb="5" eb="8">
      <t>ケイサンシキ</t>
    </rPh>
    <rPh sb="10" eb="13">
      <t>コクゼイチョウ</t>
    </rPh>
    <phoneticPr fontId="2"/>
  </si>
  <si>
    <t>◆　給与所得  (専従者給与含む)</t>
    <rPh sb="2" eb="4">
      <t>キュウヨ</t>
    </rPh>
    <rPh sb="4" eb="6">
      <t>ショトク</t>
    </rPh>
    <phoneticPr fontId="2"/>
  </si>
  <si>
    <t>専従者給与含まない</t>
    <rPh sb="0" eb="3">
      <t>センジュウシャ</t>
    </rPh>
    <rPh sb="3" eb="5">
      <t>キュウヨ</t>
    </rPh>
    <rPh sb="5" eb="6">
      <t>フク</t>
    </rPh>
    <phoneticPr fontId="2"/>
  </si>
  <si>
    <t>年度</t>
    <rPh sb="0" eb="2">
      <t>ネンド</t>
    </rPh>
    <phoneticPr fontId="2"/>
  </si>
  <si>
    <t>子育て分</t>
    <rPh sb="0" eb="2">
      <t>コソダ</t>
    </rPh>
    <rPh sb="3" eb="4">
      <t>ブン</t>
    </rPh>
    <phoneticPr fontId="2"/>
  </si>
  <si>
    <t>医療分</t>
    <rPh sb="0" eb="2">
      <t>イリョウ</t>
    </rPh>
    <rPh sb="2" eb="3">
      <t>ブン</t>
    </rPh>
    <phoneticPr fontId="2"/>
  </si>
  <si>
    <t>所得割</t>
    <rPh sb="0" eb="2">
      <t>ショトク</t>
    </rPh>
    <rPh sb="2" eb="3">
      <t>ワリ</t>
    </rPh>
    <phoneticPr fontId="2"/>
  </si>
  <si>
    <t>均等割</t>
    <rPh sb="0" eb="3">
      <t>キントウワ</t>
    </rPh>
    <phoneticPr fontId="2"/>
  </si>
  <si>
    <t>介護分</t>
    <rPh sb="0" eb="2">
      <t>カイゴ</t>
    </rPh>
    <rPh sb="2" eb="3">
      <t>ブン</t>
    </rPh>
    <phoneticPr fontId="2"/>
  </si>
  <si>
    <t>収入金額×30％＋80,000円</t>
    <rPh sb="0" eb="4">
      <t>シュウニュウキンガク</t>
    </rPh>
    <rPh sb="15" eb="16">
      <t>エン</t>
    </rPh>
    <phoneticPr fontId="2"/>
  </si>
  <si>
    <t>均等割　 （支援分）　　 未就学児</t>
    <rPh sb="4" eb="6">
      <t>シエン</t>
    </rPh>
    <rPh sb="6" eb="7">
      <t>ブン</t>
    </rPh>
    <phoneticPr fontId="2"/>
  </si>
  <si>
    <t>平等割   （支援分）　 　　旧国保</t>
    <rPh sb="7" eb="9">
      <t>シエン</t>
    </rPh>
    <rPh sb="9" eb="10">
      <t>ブン</t>
    </rPh>
    <rPh sb="15" eb="18">
      <t>キュウコクホ</t>
    </rPh>
    <phoneticPr fontId="2"/>
  </si>
  <si>
    <t>支援分</t>
    <phoneticPr fontId="2"/>
  </si>
  <si>
    <t>給与と公的年金所得があり計10万円超は所得金額調整控除額10万円</t>
    <phoneticPr fontId="2"/>
  </si>
  <si>
    <t>2号取得　誕生日前日</t>
    <rPh sb="1" eb="2">
      <t>ゴウ</t>
    </rPh>
    <rPh sb="2" eb="4">
      <t>シュトク</t>
    </rPh>
    <rPh sb="5" eb="8">
      <t>タンジョウビ</t>
    </rPh>
    <rPh sb="8" eb="10">
      <t>ゼンジツ</t>
    </rPh>
    <phoneticPr fontId="2"/>
  </si>
  <si>
    <t>１号取得　誕生日前日</t>
    <rPh sb="1" eb="2">
      <t>ゴウ</t>
    </rPh>
    <rPh sb="2" eb="4">
      <t>シュトク</t>
    </rPh>
    <rPh sb="5" eb="8">
      <t>タンジョウビ</t>
    </rPh>
    <rPh sb="8" eb="10">
      <t>ゼンジツ</t>
    </rPh>
    <phoneticPr fontId="2"/>
  </si>
  <si>
    <t>平等割</t>
    <rPh sb="0" eb="3">
      <t>ビョウドウワリ</t>
    </rPh>
    <phoneticPr fontId="2"/>
  </si>
  <si>
    <t>計</t>
    <rPh sb="0" eb="1">
      <t>ケイ</t>
    </rPh>
    <phoneticPr fontId="2"/>
  </si>
  <si>
    <t>支援分 最高限度額   4月</t>
    <rPh sb="13" eb="14">
      <t>ガツ</t>
    </rPh>
    <phoneticPr fontId="2"/>
  </si>
  <si>
    <t>支援分 最高限度額   5月</t>
    <rPh sb="13" eb="14">
      <t>ガツ</t>
    </rPh>
    <phoneticPr fontId="2"/>
  </si>
  <si>
    <t>支援分 最高限度額   6月</t>
    <rPh sb="13" eb="14">
      <t>ガツ</t>
    </rPh>
    <phoneticPr fontId="2"/>
  </si>
  <si>
    <t>支援分 最高限度額   7月</t>
    <rPh sb="13" eb="14">
      <t>ガツ</t>
    </rPh>
    <phoneticPr fontId="2"/>
  </si>
  <si>
    <t>支援分 最高限度額   8月</t>
    <rPh sb="13" eb="14">
      <t>ガツ</t>
    </rPh>
    <phoneticPr fontId="2"/>
  </si>
  <si>
    <t>支援分 最高限度額   9月</t>
    <rPh sb="13" eb="14">
      <t>ガツ</t>
    </rPh>
    <phoneticPr fontId="2"/>
  </si>
  <si>
    <t>支援分 最高限度額 10月</t>
    <rPh sb="12" eb="13">
      <t>ガツ</t>
    </rPh>
    <phoneticPr fontId="2"/>
  </si>
  <si>
    <t>支援分 最高限度額 11月</t>
    <rPh sb="12" eb="13">
      <t>ガツ</t>
    </rPh>
    <phoneticPr fontId="2"/>
  </si>
  <si>
    <t>支援分 最高限度額 12月</t>
    <rPh sb="12" eb="13">
      <t>ガツ</t>
    </rPh>
    <phoneticPr fontId="2"/>
  </si>
  <si>
    <t>支援分 最高限度額   1月</t>
    <rPh sb="13" eb="14">
      <t>ガツ</t>
    </rPh>
    <phoneticPr fontId="2"/>
  </si>
  <si>
    <t>支援分 最高限度額   2月</t>
    <rPh sb="13" eb="14">
      <t>ガツ</t>
    </rPh>
    <phoneticPr fontId="2"/>
  </si>
  <si>
    <t>支援分 最高限度額   3月</t>
    <rPh sb="13" eb="14">
      <t>ガツ</t>
    </rPh>
    <phoneticPr fontId="2"/>
  </si>
  <si>
    <t>支援分 最高限度額  年間</t>
    <rPh sb="11" eb="13">
      <t>ネンカン</t>
    </rPh>
    <phoneticPr fontId="2"/>
  </si>
  <si>
    <t>介護分 最高限度額   4月</t>
    <rPh sb="13" eb="14">
      <t>ガツ</t>
    </rPh>
    <phoneticPr fontId="2"/>
  </si>
  <si>
    <t>介護分 最高限度額   5月</t>
    <rPh sb="13" eb="14">
      <t>ガツ</t>
    </rPh>
    <phoneticPr fontId="2"/>
  </si>
  <si>
    <t>介護分 最高限度額   6月</t>
    <rPh sb="13" eb="14">
      <t>ガツ</t>
    </rPh>
    <phoneticPr fontId="2"/>
  </si>
  <si>
    <t>介護分 最高限度額   7月</t>
    <rPh sb="13" eb="14">
      <t>ガツ</t>
    </rPh>
    <phoneticPr fontId="2"/>
  </si>
  <si>
    <t>介護分 最高限度額   8月</t>
    <rPh sb="13" eb="14">
      <t>ガツ</t>
    </rPh>
    <phoneticPr fontId="2"/>
  </si>
  <si>
    <t>介護分 最高限度額   9月</t>
    <rPh sb="13" eb="14">
      <t>ガツ</t>
    </rPh>
    <phoneticPr fontId="2"/>
  </si>
  <si>
    <t>介護分 最高限度額 10月</t>
    <rPh sb="12" eb="13">
      <t>ガツ</t>
    </rPh>
    <phoneticPr fontId="2"/>
  </si>
  <si>
    <t>介護分 最高限度額 11月</t>
    <rPh sb="12" eb="13">
      <t>ガツ</t>
    </rPh>
    <phoneticPr fontId="2"/>
  </si>
  <si>
    <t>介護分 最高限度額 12月</t>
    <rPh sb="12" eb="13">
      <t>ガツ</t>
    </rPh>
    <phoneticPr fontId="2"/>
  </si>
  <si>
    <t>介護分 最高限度額   1月</t>
    <rPh sb="13" eb="14">
      <t>ガツ</t>
    </rPh>
    <phoneticPr fontId="2"/>
  </si>
  <si>
    <t>介護分 最高限度額   2月</t>
    <rPh sb="13" eb="14">
      <t>ガツ</t>
    </rPh>
    <phoneticPr fontId="2"/>
  </si>
  <si>
    <t>介護分 最高限度額   3月</t>
    <rPh sb="13" eb="14">
      <t>ガツ</t>
    </rPh>
    <phoneticPr fontId="2"/>
  </si>
  <si>
    <t>介護分 最高限度額 年間</t>
    <rPh sb="10" eb="12">
      <t>ネンカン</t>
    </rPh>
    <phoneticPr fontId="2"/>
  </si>
  <si>
    <t>子育て分 最高限度額   4月</t>
    <rPh sb="14" eb="15">
      <t>ガツ</t>
    </rPh>
    <phoneticPr fontId="2"/>
  </si>
  <si>
    <t>子育て分 最高限度額   5月</t>
    <rPh sb="14" eb="15">
      <t>ガツ</t>
    </rPh>
    <phoneticPr fontId="2"/>
  </si>
  <si>
    <t>子育て分 最高限度額   6月</t>
    <rPh sb="14" eb="15">
      <t>ガツ</t>
    </rPh>
    <phoneticPr fontId="2"/>
  </si>
  <si>
    <t>子育て分 最高限度額   7月</t>
    <rPh sb="14" eb="15">
      <t>ガツ</t>
    </rPh>
    <phoneticPr fontId="2"/>
  </si>
  <si>
    <t>子育て分 最高限度額   8月</t>
    <rPh sb="14" eb="15">
      <t>ガツ</t>
    </rPh>
    <phoneticPr fontId="2"/>
  </si>
  <si>
    <t>子育て分 最高限度額   9月</t>
    <rPh sb="14" eb="15">
      <t>ガツ</t>
    </rPh>
    <phoneticPr fontId="2"/>
  </si>
  <si>
    <t>子育て分 最高限度額 10月</t>
    <rPh sb="13" eb="14">
      <t>ガツ</t>
    </rPh>
    <phoneticPr fontId="2"/>
  </si>
  <si>
    <t>子育て分 最高限度額 11月</t>
    <rPh sb="13" eb="14">
      <t>ガツ</t>
    </rPh>
    <phoneticPr fontId="2"/>
  </si>
  <si>
    <t>子育て分 最高限度額 12月</t>
    <rPh sb="13" eb="14">
      <t>ガツ</t>
    </rPh>
    <phoneticPr fontId="2"/>
  </si>
  <si>
    <t>子育て分 最高限度額   1月</t>
    <rPh sb="14" eb="15">
      <t>ガツ</t>
    </rPh>
    <phoneticPr fontId="2"/>
  </si>
  <si>
    <t>子育て分 最高限度額   2月</t>
    <rPh sb="14" eb="15">
      <t>ガツ</t>
    </rPh>
    <phoneticPr fontId="2"/>
  </si>
  <si>
    <t>子育て分 最高限度額   3月</t>
    <rPh sb="14" eb="15">
      <t>ガツ</t>
    </rPh>
    <phoneticPr fontId="2"/>
  </si>
  <si>
    <t>子育て分 最高限度額 年間</t>
    <rPh sb="11" eb="13">
      <t>ネンカン</t>
    </rPh>
    <phoneticPr fontId="2"/>
  </si>
  <si>
    <t>子ども・子育て支援金対象</t>
    <phoneticPr fontId="2"/>
  </si>
  <si>
    <t>子ども・子育て支援金対象判定</t>
    <rPh sb="12" eb="14">
      <t>ハンテイ</t>
    </rPh>
    <phoneticPr fontId="2"/>
  </si>
  <si>
    <t>年齢　歳月　（起算日）</t>
    <rPh sb="0" eb="2">
      <t>ネンレイ</t>
    </rPh>
    <rPh sb="3" eb="4">
      <t>サイ</t>
    </rPh>
    <rPh sb="4" eb="5">
      <t>ツキ</t>
    </rPh>
    <rPh sb="7" eb="10">
      <t>キサンビ</t>
    </rPh>
    <phoneticPr fontId="2"/>
  </si>
  <si>
    <t>所得割    （子ども・子育て分）</t>
    <phoneticPr fontId="2"/>
  </si>
  <si>
    <t>所得割   （子ども・子育て分）</t>
    <phoneticPr fontId="2"/>
  </si>
  <si>
    <t>平等割   （子ども・子育て分）</t>
    <rPh sb="7" eb="8">
      <t>コ</t>
    </rPh>
    <rPh sb="11" eb="13">
      <t>コソダ</t>
    </rPh>
    <phoneticPr fontId="2"/>
  </si>
  <si>
    <t>平等割   （子ども・子育て分）    旧国保</t>
    <rPh sb="7" eb="8">
      <t>コ</t>
    </rPh>
    <rPh sb="11" eb="13">
      <t>コソダ</t>
    </rPh>
    <rPh sb="20" eb="23">
      <t>キュウコクホ</t>
    </rPh>
    <phoneticPr fontId="2"/>
  </si>
  <si>
    <t>所得割    （子ども・子育て分）</t>
    <rPh sb="0" eb="2">
      <t>ショトク</t>
    </rPh>
    <rPh sb="2" eb="3">
      <t>ワリ</t>
    </rPh>
    <phoneticPr fontId="2"/>
  </si>
  <si>
    <t>均等割    （子ども・子育て分）</t>
    <phoneticPr fontId="2"/>
  </si>
  <si>
    <t>子ども・子育て分</t>
    <phoneticPr fontId="2"/>
  </si>
  <si>
    <t>均等割   （子ども・子育て分）</t>
    <rPh sb="0" eb="2">
      <t>キントウ</t>
    </rPh>
    <phoneticPr fontId="2"/>
  </si>
  <si>
    <t>18歳以上均等割    （子ども・子育て分）</t>
    <rPh sb="2" eb="3">
      <t>サイ</t>
    </rPh>
    <rPh sb="3" eb="5">
      <t>イジョウ</t>
    </rPh>
    <rPh sb="5" eb="7">
      <t>キントウ</t>
    </rPh>
    <phoneticPr fontId="2"/>
  </si>
  <si>
    <t>18歳以上均等割</t>
    <rPh sb="2" eb="3">
      <t>サイ</t>
    </rPh>
    <rPh sb="3" eb="5">
      <t>イジョウ</t>
    </rPh>
    <rPh sb="5" eb="8">
      <t>キントウワ</t>
    </rPh>
    <phoneticPr fontId="2"/>
  </si>
  <si>
    <t>均等割    （子ども・子育て分）</t>
    <rPh sb="0" eb="2">
      <t>キントウ</t>
    </rPh>
    <phoneticPr fontId="2"/>
  </si>
  <si>
    <t>18歳以上均等割   （子ども・子育て分）</t>
    <rPh sb="2" eb="3">
      <t>サイ</t>
    </rPh>
    <rPh sb="3" eb="5">
      <t>イジョウ</t>
    </rPh>
    <rPh sb="5" eb="7">
      <t>キントウ</t>
    </rPh>
    <phoneticPr fontId="2"/>
  </si>
  <si>
    <t>18歳以上均等割    （子ども・子育て分）</t>
    <rPh sb="2" eb="3">
      <t>サイ</t>
    </rPh>
    <rPh sb="3" eb="5">
      <t>イジョウ</t>
    </rPh>
    <phoneticPr fontId="2"/>
  </si>
  <si>
    <t>所得割＋均等割＋18歳以上均等割</t>
    <rPh sb="0" eb="3">
      <t>ショトクワリ</t>
    </rPh>
    <rPh sb="4" eb="7">
      <t>キントウワ</t>
    </rPh>
    <rPh sb="10" eb="11">
      <t>サイ</t>
    </rPh>
    <rPh sb="11" eb="13">
      <t>イジョウ</t>
    </rPh>
    <rPh sb="13" eb="16">
      <t>キントウワ</t>
    </rPh>
    <phoneticPr fontId="2"/>
  </si>
  <si>
    <t>被保険者</t>
    <phoneticPr fontId="2"/>
  </si>
  <si>
    <t>被保険者１人世帯   軽減</t>
    <rPh sb="0" eb="4">
      <t>ヒホケンシャ</t>
    </rPh>
    <rPh sb="5" eb="6">
      <t>ニン</t>
    </rPh>
    <rPh sb="6" eb="8">
      <t>セタイ</t>
    </rPh>
    <rPh sb="11" eb="13">
      <t>ケイゲン</t>
    </rPh>
    <phoneticPr fontId="2"/>
  </si>
  <si>
    <t>旧被扶養者  軽減</t>
    <phoneticPr fontId="2"/>
  </si>
  <si>
    <t>介護判定</t>
    <rPh sb="0" eb="2">
      <t>カイゴ</t>
    </rPh>
    <rPh sb="2" eb="4">
      <t>ハンテイ</t>
    </rPh>
    <phoneticPr fontId="2"/>
  </si>
  <si>
    <t>資格判定</t>
    <rPh sb="0" eb="2">
      <t>シカク</t>
    </rPh>
    <rPh sb="2" eb="4">
      <t>ハンテイ</t>
    </rPh>
    <phoneticPr fontId="2"/>
  </si>
  <si>
    <t>資格月数</t>
    <rPh sb="0" eb="2">
      <t>シカク</t>
    </rPh>
    <rPh sb="2" eb="4">
      <t>ツキスウ</t>
    </rPh>
    <phoneticPr fontId="2"/>
  </si>
  <si>
    <t>個人別</t>
    <rPh sb="0" eb="3">
      <t>コジンベツ</t>
    </rPh>
    <phoneticPr fontId="2"/>
  </si>
  <si>
    <t>支援分 個人別   10月</t>
    <rPh sb="12" eb="13">
      <t>ガツ</t>
    </rPh>
    <phoneticPr fontId="2"/>
  </si>
  <si>
    <t>支援分 個人別   11月</t>
    <rPh sb="12" eb="13">
      <t>ガツ</t>
    </rPh>
    <phoneticPr fontId="2"/>
  </si>
  <si>
    <t>支援分 個人別   12月</t>
    <rPh sb="12" eb="13">
      <t>ガツ</t>
    </rPh>
    <phoneticPr fontId="2"/>
  </si>
  <si>
    <t>介護分 個人別 10月</t>
    <rPh sb="10" eb="11">
      <t>ガツ</t>
    </rPh>
    <phoneticPr fontId="2"/>
  </si>
  <si>
    <t>介護分 個人別 11月</t>
    <rPh sb="10" eb="11">
      <t>ガツ</t>
    </rPh>
    <phoneticPr fontId="2"/>
  </si>
  <si>
    <t>介護分 個人別 12月</t>
    <rPh sb="10" eb="11">
      <t>ガツ</t>
    </rPh>
    <phoneticPr fontId="2"/>
  </si>
  <si>
    <t>月額</t>
    <rPh sb="0" eb="2">
      <t>ゲツガク</t>
    </rPh>
    <phoneticPr fontId="2"/>
  </si>
  <si>
    <t>多胎</t>
    <rPh sb="0" eb="2">
      <t>タタイ</t>
    </rPh>
    <phoneticPr fontId="2"/>
  </si>
  <si>
    <t>単胎</t>
    <rPh sb="0" eb="1">
      <t>タン</t>
    </rPh>
    <rPh sb="1" eb="2">
      <t>タイ</t>
    </rPh>
    <phoneticPr fontId="2"/>
  </si>
  <si>
    <t>産前産後判定</t>
    <rPh sb="0" eb="2">
      <t>サンゼン</t>
    </rPh>
    <rPh sb="2" eb="4">
      <t>サンゴ</t>
    </rPh>
    <rPh sb="4" eb="6">
      <t>ハンテイ</t>
    </rPh>
    <phoneticPr fontId="2"/>
  </si>
  <si>
    <t>（所得割＋均等割）</t>
    <rPh sb="1" eb="3">
      <t>ショトク</t>
    </rPh>
    <rPh sb="3" eb="4">
      <t>ワリ</t>
    </rPh>
    <phoneticPr fontId="2"/>
  </si>
  <si>
    <t>世帯合算</t>
    <rPh sb="0" eb="2">
      <t>セタイ</t>
    </rPh>
    <rPh sb="2" eb="4">
      <t>ガッサン</t>
    </rPh>
    <phoneticPr fontId="2"/>
  </si>
  <si>
    <t>平等割は世帯合算で計算</t>
    <rPh sb="0" eb="3">
      <t>ビョウドウワリ</t>
    </rPh>
    <rPh sb="4" eb="6">
      <t>セタイ</t>
    </rPh>
    <rPh sb="6" eb="8">
      <t>ガッサン</t>
    </rPh>
    <rPh sb="9" eb="11">
      <t>ケイサン</t>
    </rPh>
    <phoneticPr fontId="2"/>
  </si>
  <si>
    <t>①　給与収入</t>
    <rPh sb="2" eb="6">
      <t>キュウヨシュウニュウ</t>
    </rPh>
    <phoneticPr fontId="2"/>
  </si>
  <si>
    <t>◆　①　給与収入</t>
    <rPh sb="4" eb="6">
      <t>キュウヨ</t>
    </rPh>
    <rPh sb="6" eb="8">
      <t>シュウニュウ</t>
    </rPh>
    <phoneticPr fontId="2"/>
  </si>
  <si>
    <t>◆　②　年金収入</t>
    <rPh sb="4" eb="6">
      <t>ネンキン</t>
    </rPh>
    <rPh sb="6" eb="8">
      <t>シュウニュウ</t>
    </rPh>
    <phoneticPr fontId="2"/>
  </si>
  <si>
    <t>入力いただいた内容をもとに計算しますが、実際の保険税額とは異なる場合がありますので、目安としてご利用ください。</t>
  </si>
  <si>
    <t>【入力していただく内容】</t>
  </si>
  <si>
    <t>【注意事項】</t>
    <rPh sb="1" eb="3">
      <t>チュウイ</t>
    </rPh>
    <rPh sb="3" eb="5">
      <t>ジコウ</t>
    </rPh>
    <phoneticPr fontId="2"/>
  </si>
  <si>
    <t>入力する金額</t>
    <rPh sb="0" eb="2">
      <t>ニュウリョク</t>
    </rPh>
    <rPh sb="4" eb="6">
      <t>キンガク</t>
    </rPh>
    <phoneticPr fontId="2"/>
  </si>
  <si>
    <t>【このシートについて】</t>
    <phoneticPr fontId="2"/>
  </si>
  <si>
    <t>　①　給与収入</t>
    <phoneticPr fontId="2"/>
  </si>
  <si>
    <t>　②　年金収入</t>
    <phoneticPr fontId="2"/>
  </si>
  <si>
    <t>　③　その他の所得</t>
    <phoneticPr fontId="2"/>
  </si>
  <si>
    <t>☆旧国保世帯員</t>
    <phoneticPr fontId="2"/>
  </si>
  <si>
    <t>前年中の所得がつぎの金額以下の世帯</t>
    <rPh sb="0" eb="2">
      <t>ゼンネン</t>
    </rPh>
    <rPh sb="2" eb="3">
      <t>チュウ</t>
    </rPh>
    <rPh sb="4" eb="6">
      <t>ショトク</t>
    </rPh>
    <rPh sb="10" eb="12">
      <t>キンガク</t>
    </rPh>
    <rPh sb="12" eb="14">
      <t>イカ</t>
    </rPh>
    <rPh sb="15" eb="17">
      <t>セタイ</t>
    </rPh>
    <phoneticPr fontId="2"/>
  </si>
  <si>
    <t>当初　被保険者のみ</t>
    <rPh sb="0" eb="2">
      <t>トウショ</t>
    </rPh>
    <rPh sb="3" eb="7">
      <t>ヒホケンシャ</t>
    </rPh>
    <phoneticPr fontId="2"/>
  </si>
  <si>
    <t>医療分</t>
  </si>
  <si>
    <t>医療分</t>
    <rPh sb="0" eb="3">
      <t>イリョウブン</t>
    </rPh>
    <phoneticPr fontId="2"/>
  </si>
  <si>
    <t>所得割</t>
    <rPh sb="0" eb="3">
      <t>ショトクワリ</t>
    </rPh>
    <phoneticPr fontId="2"/>
  </si>
  <si>
    <t>支援金分</t>
    <rPh sb="0" eb="4">
      <t>シエンキンブン</t>
    </rPh>
    <phoneticPr fontId="2"/>
  </si>
  <si>
    <t>子ども子育て分</t>
    <rPh sb="0" eb="1">
      <t>コ</t>
    </rPh>
    <rPh sb="3" eb="5">
      <t>コソダ</t>
    </rPh>
    <rPh sb="6" eb="7">
      <t>ブン</t>
    </rPh>
    <phoneticPr fontId="2"/>
  </si>
  <si>
    <t>所得割    （医療分）</t>
    <rPh sb="0" eb="2">
      <t>ショトク</t>
    </rPh>
    <rPh sb="2" eb="3">
      <t>ワリ</t>
    </rPh>
    <phoneticPr fontId="2"/>
  </si>
  <si>
    <t>均等割    （医療分）</t>
    <phoneticPr fontId="2"/>
  </si>
  <si>
    <t>所得割   （医療分）</t>
    <phoneticPr fontId="2"/>
  </si>
  <si>
    <t>均等割   （医療分）</t>
    <phoneticPr fontId="2"/>
  </si>
  <si>
    <t>均等割     （医療分） 　未就学児</t>
    <rPh sb="15" eb="19">
      <t>ミシュウガクジ</t>
    </rPh>
    <phoneticPr fontId="2"/>
  </si>
  <si>
    <t>平等割   （医療分）</t>
    <phoneticPr fontId="2"/>
  </si>
  <si>
    <t>医療分 最高限度額   4月</t>
    <rPh sb="13" eb="14">
      <t>ガツ</t>
    </rPh>
    <phoneticPr fontId="2"/>
  </si>
  <si>
    <t>医療分 最高限度額   5月</t>
    <rPh sb="13" eb="14">
      <t>ガツ</t>
    </rPh>
    <phoneticPr fontId="2"/>
  </si>
  <si>
    <t>医療分 最高限度額   6月</t>
    <rPh sb="13" eb="14">
      <t>ガツ</t>
    </rPh>
    <phoneticPr fontId="2"/>
  </si>
  <si>
    <t>医療分 最高限度額   7月</t>
    <rPh sb="13" eb="14">
      <t>ガツ</t>
    </rPh>
    <phoneticPr fontId="2"/>
  </si>
  <si>
    <t>医療分 最高限度額   8月</t>
    <rPh sb="13" eb="14">
      <t>ガツ</t>
    </rPh>
    <phoneticPr fontId="2"/>
  </si>
  <si>
    <t>医療分 最高限度額   9月</t>
    <rPh sb="13" eb="14">
      <t>ガツ</t>
    </rPh>
    <phoneticPr fontId="2"/>
  </si>
  <si>
    <t>医療分 最高限度額 10月</t>
    <rPh sb="12" eb="13">
      <t>ガツ</t>
    </rPh>
    <phoneticPr fontId="2"/>
  </si>
  <si>
    <t>医療分 最高限度額 11月</t>
    <rPh sb="12" eb="13">
      <t>ガツ</t>
    </rPh>
    <phoneticPr fontId="2"/>
  </si>
  <si>
    <t>医療分 最高限度額 12月</t>
    <rPh sb="12" eb="13">
      <t>ガツ</t>
    </rPh>
    <phoneticPr fontId="2"/>
  </si>
  <si>
    <t>医療分 最高限度額   1月</t>
    <rPh sb="13" eb="14">
      <t>ガツ</t>
    </rPh>
    <phoneticPr fontId="2"/>
  </si>
  <si>
    <t>医療分 最高限度額   2月</t>
    <rPh sb="13" eb="14">
      <t>ガツ</t>
    </rPh>
    <phoneticPr fontId="2"/>
  </si>
  <si>
    <t>医療分 最高限度額   3月</t>
    <rPh sb="13" eb="14">
      <t>ガツ</t>
    </rPh>
    <phoneticPr fontId="2"/>
  </si>
  <si>
    <t xml:space="preserve">医療分 最高限度額  年間  </t>
    <rPh sb="11" eb="13">
      <t>ネンカン</t>
    </rPh>
    <phoneticPr fontId="2"/>
  </si>
  <si>
    <t>医療分 個人別   10月</t>
    <rPh sb="12" eb="13">
      <t>ガツ</t>
    </rPh>
    <phoneticPr fontId="2"/>
  </si>
  <si>
    <t>医療分 個人別   11月</t>
    <rPh sb="12" eb="13">
      <t>ガツ</t>
    </rPh>
    <phoneticPr fontId="2"/>
  </si>
  <si>
    <t>医療分 個人別   12月</t>
    <rPh sb="12" eb="13">
      <t>ガツ</t>
    </rPh>
    <phoneticPr fontId="2"/>
  </si>
  <si>
    <t>子ども分</t>
    <rPh sb="0" eb="1">
      <t>コ</t>
    </rPh>
    <rPh sb="3" eb="4">
      <t>ブン</t>
    </rPh>
    <phoneticPr fontId="2"/>
  </si>
  <si>
    <t>普通世帯主</t>
    <rPh sb="0" eb="2">
      <t>フツウ</t>
    </rPh>
    <phoneticPr fontId="2"/>
  </si>
  <si>
    <t>普通世帯主【擬主→国保】</t>
    <rPh sb="0" eb="2">
      <t>フツウ</t>
    </rPh>
    <rPh sb="2" eb="5">
      <t>セタイヌシ</t>
    </rPh>
    <rPh sb="9" eb="11">
      <t>コクホ</t>
    </rPh>
    <phoneticPr fontId="2"/>
  </si>
  <si>
    <t>所得割対象・軽減判定対象外</t>
    <rPh sb="0" eb="3">
      <t>ショトクワリ</t>
    </rPh>
    <rPh sb="3" eb="5">
      <t>タイショウ</t>
    </rPh>
    <rPh sb="6" eb="10">
      <t>ケイゲンハンテイ</t>
    </rPh>
    <rPh sb="10" eb="12">
      <t>タイショウ</t>
    </rPh>
    <rPh sb="11" eb="12">
      <t>ゾウ</t>
    </rPh>
    <rPh sb="12" eb="13">
      <t>ガイ</t>
    </rPh>
    <phoneticPr fontId="2"/>
  </si>
  <si>
    <t>所得割対象・軽減判定対象外</t>
    <rPh sb="0" eb="3">
      <t>ショトクワリ</t>
    </rPh>
    <rPh sb="3" eb="5">
      <t>タイショウ</t>
    </rPh>
    <rPh sb="6" eb="8">
      <t>ケイゲン</t>
    </rPh>
    <rPh sb="8" eb="10">
      <t>ハンテイ</t>
    </rPh>
    <rPh sb="10" eb="12">
      <t>タイショウ</t>
    </rPh>
    <rPh sb="11" eb="12">
      <t>ゾウ</t>
    </rPh>
    <rPh sb="12" eb="13">
      <t>ガイ</t>
    </rPh>
    <phoneticPr fontId="2"/>
  </si>
  <si>
    <t>　　　産前産後免除 (胎児数）</t>
    <rPh sb="3" eb="5">
      <t>サンゼン</t>
    </rPh>
    <rPh sb="5" eb="7">
      <t>サンゴ</t>
    </rPh>
    <rPh sb="7" eb="9">
      <t>メンジョ</t>
    </rPh>
    <rPh sb="11" eb="14">
      <t>タイジスウ</t>
    </rPh>
    <phoneticPr fontId="2"/>
  </si>
  <si>
    <t>出産予定日</t>
    <rPh sb="0" eb="2">
      <t>シュッサン</t>
    </rPh>
    <rPh sb="2" eb="5">
      <t>ヨテイビ</t>
    </rPh>
    <phoneticPr fontId="2"/>
  </si>
  <si>
    <t>基礎控除</t>
    <rPh sb="0" eb="4">
      <t>キソコウジョ</t>
    </rPh>
    <phoneticPr fontId="2"/>
  </si>
  <si>
    <t>低所得軽減</t>
    <rPh sb="0" eb="1">
      <t>ヒク</t>
    </rPh>
    <rPh sb="1" eb="3">
      <t>ショトク</t>
    </rPh>
    <rPh sb="3" eb="5">
      <t>ケイゲン</t>
    </rPh>
    <phoneticPr fontId="2"/>
  </si>
  <si>
    <t>5割軽減</t>
    <rPh sb="1" eb="2">
      <t>ワリ</t>
    </rPh>
    <rPh sb="2" eb="4">
      <t>ケイゲン</t>
    </rPh>
    <phoneticPr fontId="2"/>
  </si>
  <si>
    <t>2割軽減</t>
    <rPh sb="1" eb="4">
      <t>ワリケイゲン</t>
    </rPh>
    <phoneticPr fontId="2"/>
  </si>
  <si>
    <t>加入月数</t>
    <rPh sb="0" eb="2">
      <t>カニュウ</t>
    </rPh>
    <rPh sb="2" eb="4">
      <t>ツキスウ</t>
    </rPh>
    <phoneticPr fontId="2"/>
  </si>
  <si>
    <t>給与収入 （　　年中）</t>
    <rPh sb="0" eb="2">
      <t>キュウヨ</t>
    </rPh>
    <rPh sb="2" eb="4">
      <t>シュウニュウ</t>
    </rPh>
    <rPh sb="8" eb="10">
      <t>ネンチュウ</t>
    </rPh>
    <phoneticPr fontId="2"/>
  </si>
  <si>
    <t>年金収入 （　　年中）</t>
    <rPh sb="0" eb="2">
      <t>ネンキン</t>
    </rPh>
    <rPh sb="2" eb="4">
      <t>シュウニュウ</t>
    </rPh>
    <rPh sb="8" eb="9">
      <t>ネン</t>
    </rPh>
    <rPh sb="9" eb="10">
      <t>チュウ</t>
    </rPh>
    <phoneticPr fontId="2"/>
  </si>
  <si>
    <t>その他</t>
    <rPh sb="2" eb="3">
      <t>タ</t>
    </rPh>
    <phoneticPr fontId="2"/>
  </si>
  <si>
    <t>所得等</t>
    <rPh sb="2" eb="3">
      <t>トウ</t>
    </rPh>
    <phoneticPr fontId="2"/>
  </si>
  <si>
    <t>（　　　　年中）</t>
    <rPh sb="5" eb="7">
      <t>ネンチュウ</t>
    </rPh>
    <phoneticPr fontId="2"/>
  </si>
  <si>
    <t>障害・遺族年金は除く</t>
    <rPh sb="0" eb="2">
      <t>ショウガイ</t>
    </rPh>
    <rPh sb="3" eb="5">
      <t>イゾク</t>
    </rPh>
    <rPh sb="5" eb="7">
      <t>ネンキン</t>
    </rPh>
    <rPh sb="8" eb="9">
      <t>ノゾ</t>
    </rPh>
    <phoneticPr fontId="2"/>
  </si>
  <si>
    <t>（　　　割軽減）</t>
    <rPh sb="4" eb="5">
      <t>ワリ</t>
    </rPh>
    <rPh sb="5" eb="7">
      <t>ケイゲン</t>
    </rPh>
    <phoneticPr fontId="2"/>
  </si>
  <si>
    <t>差額　②－①　（　　　　　　　　　円／　　ヶ月）　　　　</t>
    <rPh sb="0" eb="2">
      <t>サガク</t>
    </rPh>
    <rPh sb="17" eb="18">
      <t>エン</t>
    </rPh>
    <rPh sb="22" eb="23">
      <t>ツキ</t>
    </rPh>
    <phoneticPr fontId="2"/>
  </si>
  <si>
    <t>回払い</t>
    <rPh sb="0" eb="1">
      <t>カイ</t>
    </rPh>
    <rPh sb="1" eb="2">
      <t>バラ</t>
    </rPh>
    <phoneticPr fontId="2"/>
  </si>
  <si>
    <t>※仮の計算のため、実際の金額とは異なる場合があります。</t>
    <rPh sb="1" eb="2">
      <t>カリ</t>
    </rPh>
    <rPh sb="16" eb="17">
      <t>コト</t>
    </rPh>
    <phoneticPr fontId="2"/>
  </si>
  <si>
    <t xml:space="preserve"> 加入　・　脱退</t>
    <rPh sb="1" eb="3">
      <t>カニュウ</t>
    </rPh>
    <rPh sb="6" eb="8">
      <t>ダッタイ</t>
    </rPh>
    <phoneticPr fontId="2"/>
  </si>
  <si>
    <t>電話番号</t>
    <rPh sb="0" eb="2">
      <t>デンワ</t>
    </rPh>
    <rPh sb="2" eb="4">
      <t>バンゴウ</t>
    </rPh>
    <phoneticPr fontId="2"/>
  </si>
  <si>
    <t>計算対象者
（加入者　　　　人）</t>
    <rPh sb="0" eb="2">
      <t>ケイサン</t>
    </rPh>
    <rPh sb="2" eb="5">
      <t>タイショウシャ</t>
    </rPh>
    <phoneticPr fontId="2"/>
  </si>
  <si>
    <t>氏名</t>
    <rPh sb="0" eb="2">
      <t>シメイ</t>
    </rPh>
    <phoneticPr fontId="2"/>
  </si>
  <si>
    <t>申請</t>
    <rPh sb="0" eb="2">
      <t>シンセイ</t>
    </rPh>
    <phoneticPr fontId="2"/>
  </si>
  <si>
    <t>依頼者</t>
    <rPh sb="0" eb="3">
      <t>イライシャ</t>
    </rPh>
    <phoneticPr fontId="2"/>
  </si>
  <si>
    <t>依頼者氏名</t>
    <phoneticPr fontId="2"/>
  </si>
  <si>
    <t>世帯番号</t>
    <rPh sb="0" eb="2">
      <t>セタイ</t>
    </rPh>
    <rPh sb="2" eb="4">
      <t>バンゴウ</t>
    </rPh>
    <phoneticPr fontId="2"/>
  </si>
  <si>
    <t>軽減判定所得</t>
    <rPh sb="0" eb="4">
      <t>ケイゲンハンテイ</t>
    </rPh>
    <rPh sb="4" eb="6">
      <t>ショトク</t>
    </rPh>
    <phoneticPr fontId="2"/>
  </si>
  <si>
    <t>18歳以上均等割</t>
    <rPh sb="2" eb="3">
      <t>サイ</t>
    </rPh>
    <rPh sb="3" eb="5">
      <t>イジョウ</t>
    </rPh>
    <rPh sb="5" eb="8">
      <t>キントウワリ</t>
    </rPh>
    <phoneticPr fontId="2"/>
  </si>
  <si>
    <t>介護・産前産後判定</t>
    <rPh sb="0" eb="2">
      <t>カイゴ</t>
    </rPh>
    <rPh sb="3" eb="7">
      <t>サンゼンサンゴ</t>
    </rPh>
    <rPh sb="7" eb="9">
      <t>ハンテイ</t>
    </rPh>
    <phoneticPr fontId="2"/>
  </si>
  <si>
    <t>1,900,000円まで</t>
    <phoneticPr fontId="2"/>
  </si>
  <si>
    <t>8,500,001円以上</t>
    <phoneticPr fontId="2"/>
  </si>
  <si>
    <t>1,950,000円（上限）</t>
    <phoneticPr fontId="2"/>
  </si>
  <si>
    <t>収入金額×10％+1,100,000円</t>
    <phoneticPr fontId="2"/>
  </si>
  <si>
    <t>1,900,001円～3,600,000円まで</t>
    <phoneticPr fontId="2"/>
  </si>
  <si>
    <t>650,000円</t>
    <rPh sb="7" eb="8">
      <t>エン</t>
    </rPh>
    <phoneticPr fontId="2"/>
  </si>
  <si>
    <t>給与所得控除額（R6年）</t>
    <rPh sb="0" eb="2">
      <t>キュウヨ</t>
    </rPh>
    <rPh sb="2" eb="4">
      <t>ショトク</t>
    </rPh>
    <rPh sb="4" eb="7">
      <t>コウジョガク</t>
    </rPh>
    <rPh sb="10" eb="11">
      <t>ネン</t>
    </rPh>
    <phoneticPr fontId="2"/>
  </si>
  <si>
    <t>給与所得控除額(R7年改正)</t>
    <rPh sb="0" eb="2">
      <t>キュウヨ</t>
    </rPh>
    <rPh sb="2" eb="4">
      <t>ショトク</t>
    </rPh>
    <rPh sb="4" eb="7">
      <t>コウジョガク</t>
    </rPh>
    <rPh sb="10" eb="11">
      <t>ネン</t>
    </rPh>
    <rPh sb="11" eb="13">
      <t>カイセイ</t>
    </rPh>
    <phoneticPr fontId="2"/>
  </si>
  <si>
    <t>年≠年度</t>
    <rPh sb="0" eb="1">
      <t>ネン</t>
    </rPh>
    <rPh sb="2" eb="4">
      <t>ネンド</t>
    </rPh>
    <phoneticPr fontId="2"/>
  </si>
  <si>
    <t>被保険者数</t>
    <rPh sb="0" eb="4">
      <t>ヒホケンシャ</t>
    </rPh>
    <rPh sb="4" eb="5">
      <t>スウ</t>
    </rPh>
    <phoneticPr fontId="2"/>
  </si>
  <si>
    <t>当初のみ</t>
    <rPh sb="0" eb="2">
      <t>トウショ</t>
    </rPh>
    <phoneticPr fontId="2"/>
  </si>
  <si>
    <t>収入は前年</t>
    <rPh sb="0" eb="2">
      <t>シュウニュウ</t>
    </rPh>
    <rPh sb="3" eb="5">
      <t>ゼンネン</t>
    </rPh>
    <phoneticPr fontId="2"/>
  </si>
  <si>
    <t>判定使用値</t>
    <rPh sb="0" eb="2">
      <t>ハンテイ</t>
    </rPh>
    <rPh sb="2" eb="4">
      <t>シヨウ</t>
    </rPh>
    <rPh sb="4" eb="5">
      <t>アタイ</t>
    </rPh>
    <phoneticPr fontId="2"/>
  </si>
  <si>
    <t xml:space="preserve">〇 　（ア）　非自発的失業による軽減 </t>
    <rPh sb="7" eb="8">
      <t>ヒ</t>
    </rPh>
    <phoneticPr fontId="2"/>
  </si>
  <si>
    <t>〇　（イ）　被用者保険の被扶養者であった人がいる世帯　</t>
    <phoneticPr fontId="2"/>
  </si>
  <si>
    <t>〇　（ウ）　出産する被保険者の免除 　</t>
    <phoneticPr fontId="2"/>
  </si>
  <si>
    <t>Ⓐ</t>
    <phoneticPr fontId="2"/>
  </si>
  <si>
    <t>Ⓑ</t>
    <phoneticPr fontId="2"/>
  </si>
  <si>
    <t>Ⓒ</t>
    <phoneticPr fontId="2"/>
  </si>
  <si>
    <t>Ⓓ</t>
    <phoneticPr fontId="2"/>
  </si>
  <si>
    <t>Ⓔ</t>
    <phoneticPr fontId="2"/>
  </si>
  <si>
    <t>Ⓕ</t>
    <phoneticPr fontId="2"/>
  </si>
  <si>
    <t>給与所得控除後  Ⓐ</t>
    <rPh sb="0" eb="2">
      <t>キュウヨ</t>
    </rPh>
    <rPh sb="2" eb="4">
      <t>ショトク</t>
    </rPh>
    <rPh sb="4" eb="6">
      <t>コウジョ</t>
    </rPh>
    <rPh sb="6" eb="7">
      <t>ゴ</t>
    </rPh>
    <phoneticPr fontId="2"/>
  </si>
  <si>
    <t>給与所得控除額  Ⓐ</t>
    <rPh sb="0" eb="2">
      <t>キュウヨ</t>
    </rPh>
    <rPh sb="2" eb="4">
      <t>ショトク</t>
    </rPh>
    <rPh sb="4" eb="7">
      <t>コウジョガク</t>
    </rPh>
    <phoneticPr fontId="2"/>
  </si>
  <si>
    <t>雑所得 Ⓐ</t>
    <rPh sb="0" eb="3">
      <t>ザツショトク</t>
    </rPh>
    <phoneticPr fontId="2"/>
  </si>
  <si>
    <t>給与所得控除後  Ⓑ</t>
    <rPh sb="0" eb="2">
      <t>キュウヨ</t>
    </rPh>
    <rPh sb="2" eb="4">
      <t>ショトク</t>
    </rPh>
    <rPh sb="4" eb="6">
      <t>コウジョ</t>
    </rPh>
    <rPh sb="6" eb="7">
      <t>ゴ</t>
    </rPh>
    <phoneticPr fontId="2"/>
  </si>
  <si>
    <t>給与所得控除額  Ⓑ</t>
    <rPh sb="0" eb="2">
      <t>キュウヨ</t>
    </rPh>
    <rPh sb="2" eb="4">
      <t>ショトク</t>
    </rPh>
    <rPh sb="4" eb="7">
      <t>コウジョガク</t>
    </rPh>
    <phoneticPr fontId="2"/>
  </si>
  <si>
    <t>雑所得 Ⓑ</t>
    <rPh sb="0" eb="3">
      <t>ザツショトク</t>
    </rPh>
    <phoneticPr fontId="2"/>
  </si>
  <si>
    <t>給与所得控除後  Ⓒ</t>
    <rPh sb="0" eb="2">
      <t>キュウヨ</t>
    </rPh>
    <rPh sb="2" eb="4">
      <t>ショトク</t>
    </rPh>
    <rPh sb="4" eb="6">
      <t>コウジョ</t>
    </rPh>
    <rPh sb="6" eb="7">
      <t>ゴ</t>
    </rPh>
    <phoneticPr fontId="2"/>
  </si>
  <si>
    <t>給与所得控除額  Ⓒ</t>
    <rPh sb="0" eb="2">
      <t>キュウヨ</t>
    </rPh>
    <rPh sb="2" eb="4">
      <t>ショトク</t>
    </rPh>
    <rPh sb="4" eb="7">
      <t>コウジョガク</t>
    </rPh>
    <phoneticPr fontId="2"/>
  </si>
  <si>
    <t>雑所得 Ⓒ</t>
    <rPh sb="0" eb="3">
      <t>ザツショトク</t>
    </rPh>
    <phoneticPr fontId="2"/>
  </si>
  <si>
    <t>給与所得控除後  Ⓓ</t>
    <rPh sb="0" eb="2">
      <t>キュウヨ</t>
    </rPh>
    <rPh sb="2" eb="4">
      <t>ショトク</t>
    </rPh>
    <rPh sb="4" eb="6">
      <t>コウジョ</t>
    </rPh>
    <rPh sb="6" eb="7">
      <t>ゴ</t>
    </rPh>
    <phoneticPr fontId="2"/>
  </si>
  <si>
    <t>給与所得控除額  Ⓓ</t>
    <rPh sb="0" eb="2">
      <t>キュウヨ</t>
    </rPh>
    <rPh sb="2" eb="4">
      <t>ショトク</t>
    </rPh>
    <rPh sb="4" eb="7">
      <t>コウジョガク</t>
    </rPh>
    <phoneticPr fontId="2"/>
  </si>
  <si>
    <t>雑所得 Ⓓ</t>
    <rPh sb="0" eb="3">
      <t>ザツショトク</t>
    </rPh>
    <phoneticPr fontId="2"/>
  </si>
  <si>
    <t>給与所得控除後  Ⓔ</t>
    <rPh sb="0" eb="2">
      <t>キュウヨ</t>
    </rPh>
    <rPh sb="2" eb="4">
      <t>ショトク</t>
    </rPh>
    <rPh sb="4" eb="6">
      <t>コウジョ</t>
    </rPh>
    <rPh sb="6" eb="7">
      <t>ゴ</t>
    </rPh>
    <phoneticPr fontId="2"/>
  </si>
  <si>
    <t>給与所得控除額  Ⓔ</t>
    <rPh sb="0" eb="2">
      <t>キュウヨ</t>
    </rPh>
    <rPh sb="2" eb="4">
      <t>ショトク</t>
    </rPh>
    <rPh sb="4" eb="7">
      <t>コウジョガク</t>
    </rPh>
    <phoneticPr fontId="2"/>
  </si>
  <si>
    <t>雑所得 Ⓔ</t>
  </si>
  <si>
    <t>給与所得控除後  Ⓕ</t>
    <rPh sb="0" eb="2">
      <t>キュウヨ</t>
    </rPh>
    <rPh sb="2" eb="4">
      <t>ショトク</t>
    </rPh>
    <rPh sb="4" eb="6">
      <t>コウジョ</t>
    </rPh>
    <rPh sb="6" eb="7">
      <t>ゴ</t>
    </rPh>
    <phoneticPr fontId="2"/>
  </si>
  <si>
    <t>給与所得控除額  Ⓕ</t>
    <rPh sb="0" eb="2">
      <t>キュウヨ</t>
    </rPh>
    <rPh sb="2" eb="4">
      <t>ショトク</t>
    </rPh>
    <rPh sb="4" eb="7">
      <t>コウジョガク</t>
    </rPh>
    <phoneticPr fontId="2"/>
  </si>
  <si>
    <t>雑所得 Ⓕ</t>
    <rPh sb="0" eb="3">
      <t>ザツショトク</t>
    </rPh>
    <phoneticPr fontId="2"/>
  </si>
  <si>
    <t>保険税</t>
    <rPh sb="0" eb="3">
      <t>ホケンゼイ</t>
    </rPh>
    <phoneticPr fontId="2"/>
  </si>
  <si>
    <t>専従者給与を除く</t>
    <rPh sb="6" eb="7">
      <t>ノゾ</t>
    </rPh>
    <phoneticPr fontId="2"/>
  </si>
  <si>
    <t>該当する場合「★該当」</t>
    <rPh sb="0" eb="2">
      <t>ガイトウ</t>
    </rPh>
    <rPh sb="4" eb="6">
      <t>バアイ</t>
    </rPh>
    <rPh sb="8" eb="10">
      <t>ガイトウ</t>
    </rPh>
    <phoneticPr fontId="2"/>
  </si>
  <si>
    <t>国保税、世帯軽減判定</t>
    <rPh sb="0" eb="2">
      <t>コクホ</t>
    </rPh>
    <rPh sb="2" eb="3">
      <t>ゼイ</t>
    </rPh>
    <rPh sb="4" eb="6">
      <t>セタイ</t>
    </rPh>
    <rPh sb="6" eb="10">
      <t>ケイゲンハンテイ</t>
    </rPh>
    <phoneticPr fontId="2"/>
  </si>
  <si>
    <t>起算日</t>
    <rPh sb="0" eb="3">
      <t>キサンビ</t>
    </rPh>
    <phoneticPr fontId="2"/>
  </si>
  <si>
    <t>年齢</t>
    <rPh sb="0" eb="2">
      <t>ネンレイ</t>
    </rPh>
    <phoneticPr fontId="2"/>
  </si>
  <si>
    <t>　未就学児に対する軽減</t>
    <rPh sb="6" eb="7">
      <t>タイ</t>
    </rPh>
    <rPh sb="9" eb="11">
      <t>ケイゲン</t>
    </rPh>
    <phoneticPr fontId="2"/>
  </si>
  <si>
    <t>非自発　調整控除　反映(後)</t>
    <rPh sb="4" eb="8">
      <t>チョウセイコウジョ</t>
    </rPh>
    <rPh sb="9" eb="11">
      <t>ハンエイ</t>
    </rPh>
    <rPh sb="12" eb="13">
      <t>アト</t>
    </rPh>
    <phoneticPr fontId="2"/>
  </si>
  <si>
    <t>◆　その他所得（軽減判定）</t>
    <rPh sb="4" eb="5">
      <t>タ</t>
    </rPh>
    <rPh sb="5" eb="7">
      <t>ショトク</t>
    </rPh>
    <rPh sb="8" eb="10">
      <t>ケイゲン</t>
    </rPh>
    <rPh sb="10" eb="12">
      <t>ハンテイ</t>
    </rPh>
    <phoneticPr fontId="2"/>
  </si>
  <si>
    <t>43万円＋10万円×（給与所得者等－1）＋30.5万円×被保険者数）</t>
    <rPh sb="2" eb="4">
      <t>マンエン</t>
    </rPh>
    <rPh sb="7" eb="9">
      <t>マンエン</t>
    </rPh>
    <rPh sb="11" eb="13">
      <t>キュウヨ</t>
    </rPh>
    <rPh sb="13" eb="16">
      <t>ショトクシャ</t>
    </rPh>
    <rPh sb="16" eb="17">
      <t>トウ</t>
    </rPh>
    <rPh sb="25" eb="27">
      <t>マンエン</t>
    </rPh>
    <rPh sb="32" eb="33">
      <t>スウ</t>
    </rPh>
    <phoneticPr fontId="2"/>
  </si>
  <si>
    <t>43万円＋10万円×（給与所得者等－1）＋56万円×被保険者数）</t>
    <rPh sb="2" eb="4">
      <t>マンエン</t>
    </rPh>
    <rPh sb="7" eb="9">
      <t>マンエン</t>
    </rPh>
    <rPh sb="11" eb="13">
      <t>キュウヨ</t>
    </rPh>
    <rPh sb="13" eb="16">
      <t>ショトクシャ</t>
    </rPh>
    <rPh sb="16" eb="17">
      <t>トウ</t>
    </rPh>
    <rPh sb="23" eb="25">
      <t>マンエン</t>
    </rPh>
    <rPh sb="30" eb="31">
      <t>スウ</t>
    </rPh>
    <phoneticPr fontId="2"/>
  </si>
  <si>
    <t>均等割 （子ども・子育て分） 未就学児</t>
    <rPh sb="3" eb="5">
      <t>シエン</t>
    </rPh>
    <rPh sb="5" eb="6">
      <t>コ</t>
    </rPh>
    <rPh sb="9" eb="11">
      <t>コソダ</t>
    </rPh>
    <rPh sb="12" eb="13">
      <t>ブン</t>
    </rPh>
    <phoneticPr fontId="2"/>
  </si>
  <si>
    <t>全額減額</t>
    <rPh sb="0" eb="2">
      <t>ゼンガク</t>
    </rPh>
    <rPh sb="2" eb="4">
      <t>ゲンガク</t>
    </rPh>
    <phoneticPr fontId="2"/>
  </si>
  <si>
    <t>課税所得</t>
    <rPh sb="0" eb="2">
      <t>カゼイ</t>
    </rPh>
    <rPh sb="2" eb="4">
      <t>ショトク</t>
    </rPh>
    <phoneticPr fontId="2"/>
  </si>
  <si>
    <t>給与所得者等 　該当</t>
    <rPh sb="0" eb="2">
      <t>キュウヨ</t>
    </rPh>
    <rPh sb="2" eb="5">
      <t>ショトクシャ</t>
    </rPh>
    <rPh sb="5" eb="6">
      <t>トウ</t>
    </rPh>
    <rPh sb="8" eb="10">
      <t>ガイトウ</t>
    </rPh>
    <phoneticPr fontId="2"/>
  </si>
  <si>
    <t>調整控除　反映(後)</t>
    <rPh sb="0" eb="4">
      <t>チョウセイコウジョ</t>
    </rPh>
    <rPh sb="5" eb="7">
      <t>ハンエイ</t>
    </rPh>
    <rPh sb="8" eb="9">
      <t>アト</t>
    </rPh>
    <phoneticPr fontId="2"/>
  </si>
  <si>
    <t>◆　給与所得  (専従者給与含む)（課税所得）</t>
    <rPh sb="2" eb="4">
      <t>キュウヨ</t>
    </rPh>
    <rPh sb="4" eb="6">
      <t>ショトク</t>
    </rPh>
    <rPh sb="18" eb="22">
      <t>カゼイショトク</t>
    </rPh>
    <phoneticPr fontId="2"/>
  </si>
  <si>
    <t>◆  給与所得 （専従者含まず） （軽減判定）</t>
    <rPh sb="3" eb="5">
      <t>キュウヨ</t>
    </rPh>
    <rPh sb="5" eb="7">
      <t>ショトク</t>
    </rPh>
    <rPh sb="9" eb="12">
      <t>センジュウシャ</t>
    </rPh>
    <rPh sb="12" eb="13">
      <t>フク</t>
    </rPh>
    <rPh sb="18" eb="20">
      <t>ケイゲン</t>
    </rPh>
    <rPh sb="20" eb="22">
      <t>ハンテイ</t>
    </rPh>
    <phoneticPr fontId="2"/>
  </si>
  <si>
    <t>　調整控除　反映(後)</t>
    <rPh sb="1" eb="5">
      <t>チョウセイコウジョ</t>
    </rPh>
    <rPh sb="6" eb="8">
      <t>ハンエイ</t>
    </rPh>
    <rPh sb="9" eb="10">
      <t>アト</t>
    </rPh>
    <phoneticPr fontId="2"/>
  </si>
  <si>
    <t>◆　国保課税所得　</t>
    <rPh sb="2" eb="4">
      <t>コクホ</t>
    </rPh>
    <rPh sb="4" eb="6">
      <t>カゼイ</t>
    </rPh>
    <rPh sb="6" eb="8">
      <t>ショトク</t>
    </rPh>
    <phoneticPr fontId="2"/>
  </si>
  <si>
    <t>△43万円、非自発</t>
    <rPh sb="6" eb="9">
      <t>ヒジハツ</t>
    </rPh>
    <phoneticPr fontId="2"/>
  </si>
  <si>
    <t>軽減判定　給与所得者等</t>
    <rPh sb="0" eb="2">
      <t>ケイゲン</t>
    </rPh>
    <rPh sb="2" eb="4">
      <t>ハンテイ</t>
    </rPh>
    <rPh sb="5" eb="7">
      <t>キュウヨ</t>
    </rPh>
    <rPh sb="7" eb="10">
      <t>ショトクシャ</t>
    </rPh>
    <rPh sb="10" eb="11">
      <t>トウ</t>
    </rPh>
    <phoneticPr fontId="2"/>
  </si>
  <si>
    <t>総所得</t>
    <rPh sb="0" eb="3">
      <t>ソウショトク</t>
    </rPh>
    <phoneticPr fontId="2"/>
  </si>
  <si>
    <t>旧国保含む、擬主含まない</t>
    <rPh sb="0" eb="3">
      <t>キュウコクホ</t>
    </rPh>
    <rPh sb="3" eb="4">
      <t>フク</t>
    </rPh>
    <rPh sb="6" eb="8">
      <t>ギヌシ</t>
    </rPh>
    <rPh sb="8" eb="9">
      <t>フク</t>
    </rPh>
    <phoneticPr fontId="2"/>
  </si>
  <si>
    <t>当初被保険者</t>
    <rPh sb="0" eb="2">
      <t>トウショ</t>
    </rPh>
    <rPh sb="2" eb="6">
      <t>ヒホケンシャ</t>
    </rPh>
    <phoneticPr fontId="2"/>
  </si>
  <si>
    <t>被保険者１人世帯   軽減</t>
    <rPh sb="0" eb="4">
      <t>ヒホケンシャ</t>
    </rPh>
    <rPh sb="5" eb="6">
      <t>ニン</t>
    </rPh>
    <rPh sb="9" eb="11">
      <t>ケイゲン</t>
    </rPh>
    <phoneticPr fontId="2"/>
  </si>
  <si>
    <t>低所得　旧被扶(1人世帯）　軽減</t>
    <rPh sb="0" eb="3">
      <t>テイショトク</t>
    </rPh>
    <rPh sb="4" eb="5">
      <t>キュウ</t>
    </rPh>
    <rPh sb="5" eb="6">
      <t>ヒ</t>
    </rPh>
    <rPh sb="6" eb="7">
      <t>フ</t>
    </rPh>
    <rPh sb="9" eb="10">
      <t>ニン</t>
    </rPh>
    <rPh sb="10" eb="12">
      <t>セタイ</t>
    </rPh>
    <rPh sb="14" eb="16">
      <t>ケイゲン</t>
    </rPh>
    <phoneticPr fontId="2"/>
  </si>
  <si>
    <t>当初　世帯構成員</t>
    <rPh sb="0" eb="2">
      <t>トウショ</t>
    </rPh>
    <rPh sb="3" eb="5">
      <t>セタイ</t>
    </rPh>
    <rPh sb="5" eb="8">
      <t>コウセイイン</t>
    </rPh>
    <phoneticPr fontId="2"/>
  </si>
  <si>
    <t>◆　総所得</t>
    <rPh sb="2" eb="5">
      <t>ソウショトク</t>
    </rPh>
    <phoneticPr fontId="2"/>
  </si>
  <si>
    <t>軽減判定では所得に加算</t>
    <rPh sb="0" eb="2">
      <t>ケイゲン</t>
    </rPh>
    <rPh sb="2" eb="4">
      <t>ハンテイ</t>
    </rPh>
    <rPh sb="6" eb="8">
      <t>ショトク</t>
    </rPh>
    <rPh sb="9" eb="11">
      <t>カサン</t>
    </rPh>
    <phoneticPr fontId="2"/>
  </si>
  <si>
    <t>特定月（旧国保）</t>
    <rPh sb="0" eb="2">
      <t>トクテイ</t>
    </rPh>
    <rPh sb="2" eb="3">
      <t>ツキ</t>
    </rPh>
    <rPh sb="4" eb="5">
      <t>キュウ</t>
    </rPh>
    <rPh sb="5" eb="7">
      <t>コクホ</t>
    </rPh>
    <phoneticPr fontId="2"/>
  </si>
  <si>
    <t>起算日から経過月数</t>
    <rPh sb="0" eb="3">
      <t>キサンビ</t>
    </rPh>
    <rPh sb="5" eb="7">
      <t>ケイカ</t>
    </rPh>
    <rPh sb="7" eb="9">
      <t>ツキスウ</t>
    </rPh>
    <phoneticPr fontId="2"/>
  </si>
  <si>
    <t>特定世帯経過月数</t>
    <rPh sb="0" eb="2">
      <t>トクテイ</t>
    </rPh>
    <rPh sb="2" eb="4">
      <t>セタイ</t>
    </rPh>
    <rPh sb="4" eb="6">
      <t>ケイカ</t>
    </rPh>
    <rPh sb="6" eb="8">
      <t>ツキスウ</t>
    </rPh>
    <phoneticPr fontId="2"/>
  </si>
  <si>
    <t>【最小月】軽減、旧国保判定</t>
    <rPh sb="1" eb="3">
      <t>サイショウ</t>
    </rPh>
    <rPh sb="3" eb="4">
      <t>ツキ</t>
    </rPh>
    <rPh sb="5" eb="7">
      <t>ケイゲン</t>
    </rPh>
    <rPh sb="8" eb="11">
      <t>キュウコクホ</t>
    </rPh>
    <rPh sb="11" eb="13">
      <t>ハンテイ</t>
    </rPh>
    <phoneticPr fontId="2"/>
  </si>
  <si>
    <t>65歳到達(前日) 1月前</t>
    <rPh sb="2" eb="3">
      <t>サイ</t>
    </rPh>
    <rPh sb="3" eb="5">
      <t>トウタツ</t>
    </rPh>
    <rPh sb="6" eb="8">
      <t>ゼンジツ</t>
    </rPh>
    <rPh sb="11" eb="12">
      <t>ツキ</t>
    </rPh>
    <rPh sb="12" eb="13">
      <t>マエ</t>
    </rPh>
    <phoneticPr fontId="2"/>
  </si>
  <si>
    <t>40歳到達(前日）　算定期間月数</t>
    <rPh sb="2" eb="3">
      <t>サイ</t>
    </rPh>
    <rPh sb="3" eb="5">
      <t>トウタツ</t>
    </rPh>
    <rPh sb="6" eb="8">
      <t>ゼンジツ</t>
    </rPh>
    <rPh sb="10" eb="14">
      <t>サンテイキカン</t>
    </rPh>
    <rPh sb="14" eb="16">
      <t>ツキスウ</t>
    </rPh>
    <phoneticPr fontId="2"/>
  </si>
  <si>
    <t>65歳到達（前日） 1月前　算定期間月数</t>
    <rPh sb="2" eb="3">
      <t>サイ</t>
    </rPh>
    <rPh sb="3" eb="5">
      <t>トウタツ</t>
    </rPh>
    <rPh sb="6" eb="8">
      <t>ゼンジツ</t>
    </rPh>
    <rPh sb="11" eb="12">
      <t>ツキ</t>
    </rPh>
    <rPh sb="12" eb="13">
      <t>マエ</t>
    </rPh>
    <rPh sb="14" eb="18">
      <t>サンテイキカン</t>
    </rPh>
    <rPh sb="18" eb="20">
      <t>ツキスウ</t>
    </rPh>
    <phoneticPr fontId="2"/>
  </si>
  <si>
    <t>75歳到達（前日） 1月前</t>
    <rPh sb="2" eb="3">
      <t>サイ</t>
    </rPh>
    <rPh sb="3" eb="5">
      <t>トウタツ</t>
    </rPh>
    <rPh sb="6" eb="8">
      <t>ゼンジツ</t>
    </rPh>
    <rPh sb="11" eb="12">
      <t>ツキ</t>
    </rPh>
    <rPh sb="12" eb="13">
      <t>マエ</t>
    </rPh>
    <phoneticPr fontId="2"/>
  </si>
  <si>
    <t>40歳到達（前日）</t>
    <rPh sb="2" eb="3">
      <t>サイ</t>
    </rPh>
    <rPh sb="3" eb="5">
      <t>トウタツ</t>
    </rPh>
    <rPh sb="6" eb="8">
      <t>ゼンジツ</t>
    </rPh>
    <phoneticPr fontId="2"/>
  </si>
  <si>
    <t>旧国保 平等割</t>
    <rPh sb="0" eb="3">
      <t>キュウコクホ</t>
    </rPh>
    <rPh sb="4" eb="6">
      <t>ビョウドウ</t>
    </rPh>
    <rPh sb="6" eb="7">
      <t>ワ</t>
    </rPh>
    <phoneticPr fontId="2"/>
  </si>
  <si>
    <t xml:space="preserve">・ 年度の途中で所得が変わった方がいる  </t>
    <rPh sb="15" eb="16">
      <t>カタ</t>
    </rPh>
    <phoneticPr fontId="2"/>
  </si>
  <si>
    <t>　対象の方は、「★該当」 を選択して下さい。</t>
    <rPh sb="1" eb="3">
      <t>タイショウ</t>
    </rPh>
    <rPh sb="4" eb="5">
      <t>カタ</t>
    </rPh>
    <rPh sb="9" eb="11">
      <t>ガイトウ</t>
    </rPh>
    <rPh sb="14" eb="16">
      <t>センタク</t>
    </rPh>
    <rPh sb="18" eb="19">
      <t>クダ</t>
    </rPh>
    <phoneticPr fontId="2"/>
  </si>
  <si>
    <t>７割</t>
    <rPh sb="1" eb="2">
      <t>ワリ</t>
    </rPh>
    <phoneticPr fontId="2"/>
  </si>
  <si>
    <t>５割</t>
    <rPh sb="1" eb="2">
      <t>ワリ</t>
    </rPh>
    <phoneticPr fontId="2"/>
  </si>
  <si>
    <t>２割</t>
    <rPh sb="1" eb="2">
      <t>ワリ</t>
    </rPh>
    <phoneticPr fontId="2"/>
  </si>
  <si>
    <t>　（２） 雇用保険受給資格者証の離職コードが次のいずれかに該当する人 　　　　</t>
    <phoneticPr fontId="2"/>
  </si>
  <si>
    <t xml:space="preserve">  (２)　世帯に所得が未申告の人がいる場合は適用されません。</t>
    <phoneticPr fontId="2"/>
  </si>
  <si>
    <t xml:space="preserve">  (２)　保険税の平等割の軽減 　　</t>
    <phoneticPr fontId="2"/>
  </si>
  <si>
    <t>特定世帯 経過月数</t>
    <rPh sb="0" eb="2">
      <t>トクテイ</t>
    </rPh>
    <rPh sb="2" eb="4">
      <t>セタイ</t>
    </rPh>
    <rPh sb="5" eb="7">
      <t>ケイカ</t>
    </rPh>
    <rPh sb="7" eb="9">
      <t>ツキスウ</t>
    </rPh>
    <phoneticPr fontId="2"/>
  </si>
  <si>
    <t>被保険者数 （課税対象）</t>
    <rPh sb="0" eb="4">
      <t>ヒホケンシャ</t>
    </rPh>
    <rPh sb="7" eb="9">
      <t>カゼイ</t>
    </rPh>
    <rPh sb="9" eb="11">
      <t>タイショウ</t>
    </rPh>
    <phoneticPr fontId="2"/>
  </si>
  <si>
    <t>被保険者数 （軽減判定）</t>
    <rPh sb="0" eb="4">
      <t>ヒホケンシャ</t>
    </rPh>
    <rPh sb="4" eb="5">
      <t>スウ</t>
    </rPh>
    <rPh sb="7" eb="9">
      <t>ケイゲン</t>
    </rPh>
    <rPh sb="9" eb="11">
      <t>ハンテイ</t>
    </rPh>
    <phoneticPr fontId="2"/>
  </si>
  <si>
    <t>給与所得者等数  (擬主含む）</t>
    <rPh sb="0" eb="2">
      <t>キュウヨ</t>
    </rPh>
    <rPh sb="2" eb="5">
      <t>ショトクシャ</t>
    </rPh>
    <rPh sb="5" eb="6">
      <t>トウ</t>
    </rPh>
    <rPh sb="6" eb="7">
      <t>スウ</t>
    </rPh>
    <rPh sb="10" eb="12">
      <t>ギヌシ</t>
    </rPh>
    <rPh sb="12" eb="13">
      <t>フク</t>
    </rPh>
    <phoneticPr fontId="2"/>
  </si>
  <si>
    <t>産前産後減免額</t>
    <rPh sb="0" eb="2">
      <t>サンゼン</t>
    </rPh>
    <rPh sb="2" eb="4">
      <t>サンゴ</t>
    </rPh>
    <rPh sb="4" eb="6">
      <t>ゲンメン</t>
    </rPh>
    <rPh sb="6" eb="7">
      <t>ガク</t>
    </rPh>
    <phoneticPr fontId="2"/>
  </si>
  <si>
    <t>令和７年度 保険税を計算する場合は、令和６年 （前年）の源泉徴収票をご確認ください。</t>
    <phoneticPr fontId="2"/>
  </si>
  <si>
    <t xml:space="preserve">  (１)  世帯主とその世帯の被保険者それぞれの所得の合計で判定します。</t>
    <phoneticPr fontId="2"/>
  </si>
  <si>
    <t xml:space="preserve">  国民健康保険に加入していない世帯主</t>
    <rPh sb="2" eb="4">
      <t>コクミン</t>
    </rPh>
    <rPh sb="4" eb="6">
      <t>ケンコウ</t>
    </rPh>
    <rPh sb="6" eb="8">
      <t>ホケン</t>
    </rPh>
    <rPh sb="9" eb="11">
      <t>カニュウ</t>
    </rPh>
    <rPh sb="16" eb="19">
      <t>セタイヌシ</t>
    </rPh>
    <phoneticPr fontId="2"/>
  </si>
  <si>
    <t>【 計算のしくみについて 】</t>
    <phoneticPr fontId="2"/>
  </si>
  <si>
    <t>【 ご注意 】</t>
    <phoneticPr fontId="2"/>
  </si>
  <si>
    <t xml:space="preserve"> 手取り額でありません　
 源泉徴収票でご確認ください</t>
    <rPh sb="4" eb="5">
      <t>ガク</t>
    </rPh>
    <phoneticPr fontId="2"/>
  </si>
  <si>
    <t>給与所得  （軽減判定）</t>
    <rPh sb="0" eb="2">
      <t>キュウヨ</t>
    </rPh>
    <rPh sb="2" eb="4">
      <t>ショトク</t>
    </rPh>
    <rPh sb="7" eb="11">
      <t>ケイゲンハンテイ</t>
    </rPh>
    <phoneticPr fontId="2"/>
  </si>
  <si>
    <t>給与所得  （軽減判定）非自発</t>
    <rPh sb="0" eb="2">
      <t>キュウヨ</t>
    </rPh>
    <rPh sb="2" eb="4">
      <t>ショトク</t>
    </rPh>
    <rPh sb="7" eb="11">
      <t>ケイゲンハンテイ</t>
    </rPh>
    <rPh sb="12" eb="13">
      <t>ヒ</t>
    </rPh>
    <rPh sb="13" eb="15">
      <t>ジハツ</t>
    </rPh>
    <phoneticPr fontId="2"/>
  </si>
  <si>
    <t xml:space="preserve">資格判定 </t>
    <rPh sb="0" eb="2">
      <t>シカク</t>
    </rPh>
    <rPh sb="2" eb="4">
      <t>ハンテイ</t>
    </rPh>
    <phoneticPr fontId="2"/>
  </si>
  <si>
    <t>算定経過月数判定</t>
    <rPh sb="0" eb="2">
      <t>サンテイ</t>
    </rPh>
    <rPh sb="2" eb="4">
      <t>ケイカ</t>
    </rPh>
    <rPh sb="4" eb="6">
      <t>ツキスウ</t>
    </rPh>
    <rPh sb="6" eb="8">
      <t>ハンテイ</t>
    </rPh>
    <phoneticPr fontId="2"/>
  </si>
  <si>
    <t>高齢者特別控除前</t>
    <phoneticPr fontId="2"/>
  </si>
  <si>
    <t xml:space="preserve">◇　公的年金等に係る雑所得  </t>
    <phoneticPr fontId="2"/>
  </si>
  <si>
    <t>給与所得者等
（軽減判定）</t>
    <rPh sb="0" eb="2">
      <t>キュウヨ</t>
    </rPh>
    <rPh sb="2" eb="4">
      <t>ショトク</t>
    </rPh>
    <rPh sb="4" eb="5">
      <t>シャ</t>
    </rPh>
    <rPh sb="5" eb="6">
      <t>トウ</t>
    </rPh>
    <rPh sb="8" eb="10">
      <t>ケイゲン</t>
    </rPh>
    <rPh sb="10" eb="12">
      <t>ハンテイ</t>
    </rPh>
    <phoneticPr fontId="2"/>
  </si>
  <si>
    <t xml:space="preserve">　所得が少ない世帯の軽減      </t>
    <rPh sb="1" eb="3">
      <t>ショトク</t>
    </rPh>
    <rPh sb="4" eb="5">
      <t>スク</t>
    </rPh>
    <rPh sb="7" eb="9">
      <t>セタイ</t>
    </rPh>
    <rPh sb="10" eb="12">
      <t>ケイゲン</t>
    </rPh>
    <phoneticPr fontId="2"/>
  </si>
  <si>
    <t>令和７年度  軽減判定</t>
    <rPh sb="0" eb="2">
      <t>レイワ</t>
    </rPh>
    <rPh sb="3" eb="5">
      <t>ネンド</t>
    </rPh>
    <phoneticPr fontId="2"/>
  </si>
  <si>
    <t>年齢　歳　 　（起算日）</t>
    <rPh sb="0" eb="2">
      <t>ネンレイ</t>
    </rPh>
    <rPh sb="3" eb="4">
      <t>サイ</t>
    </rPh>
    <rPh sb="8" eb="11">
      <t>キサンビ</t>
    </rPh>
    <phoneticPr fontId="2"/>
  </si>
  <si>
    <t>昭和：３, 平成：４, 令和：５</t>
    <rPh sb="0" eb="2">
      <t>ショウワ</t>
    </rPh>
    <rPh sb="6" eb="8">
      <t>ヘイセイ</t>
    </rPh>
    <rPh sb="12" eb="14">
      <t>レイワ</t>
    </rPh>
    <phoneticPr fontId="2"/>
  </si>
  <si>
    <t>被保険者数 ※
（軽減判定)</t>
    <rPh sb="0" eb="4">
      <t>ヒホケンシャ</t>
    </rPh>
    <rPh sb="4" eb="5">
      <t>スウ</t>
    </rPh>
    <rPh sb="11" eb="13">
      <t>ハンテイ</t>
    </rPh>
    <phoneticPr fontId="2"/>
  </si>
  <si>
    <t>医療分 個人別     4月</t>
    <rPh sb="13" eb="14">
      <t>ガツ</t>
    </rPh>
    <phoneticPr fontId="2"/>
  </si>
  <si>
    <t>医療分 個人別     5月</t>
    <rPh sb="13" eb="14">
      <t>ガツ</t>
    </rPh>
    <phoneticPr fontId="2"/>
  </si>
  <si>
    <t>医療分 個人別     6月</t>
    <rPh sb="13" eb="14">
      <t>ガツ</t>
    </rPh>
    <phoneticPr fontId="2"/>
  </si>
  <si>
    <t>医療分 個人別     7月</t>
    <rPh sb="13" eb="14">
      <t>ガツ</t>
    </rPh>
    <phoneticPr fontId="2"/>
  </si>
  <si>
    <t>医療分 個人別     8月</t>
    <rPh sb="13" eb="14">
      <t>ガツ</t>
    </rPh>
    <phoneticPr fontId="2"/>
  </si>
  <si>
    <t>医療分 個人別     9月</t>
    <rPh sb="13" eb="14">
      <t>ガツ</t>
    </rPh>
    <phoneticPr fontId="2"/>
  </si>
  <si>
    <t>医療分 個人別     1月</t>
    <rPh sb="13" eb="14">
      <t>ガツ</t>
    </rPh>
    <phoneticPr fontId="2"/>
  </si>
  <si>
    <t>医療分 個人別     2月</t>
    <rPh sb="13" eb="14">
      <t>ガツ</t>
    </rPh>
    <phoneticPr fontId="2"/>
  </si>
  <si>
    <t>医療分 個人別     3月</t>
    <rPh sb="13" eb="14">
      <t>ガツ</t>
    </rPh>
    <phoneticPr fontId="2"/>
  </si>
  <si>
    <t>支援分 個人別     4月</t>
    <rPh sb="13" eb="14">
      <t>ガツ</t>
    </rPh>
    <phoneticPr fontId="2"/>
  </si>
  <si>
    <t>支援分 個人別     5月</t>
    <rPh sb="13" eb="14">
      <t>ガツ</t>
    </rPh>
    <phoneticPr fontId="2"/>
  </si>
  <si>
    <t>支援分 個人別     6月</t>
    <rPh sb="13" eb="14">
      <t>ガツ</t>
    </rPh>
    <phoneticPr fontId="2"/>
  </si>
  <si>
    <t>支援分 個人別     7月</t>
    <rPh sb="13" eb="14">
      <t>ガツ</t>
    </rPh>
    <phoneticPr fontId="2"/>
  </si>
  <si>
    <t>支援分 個人別     8月</t>
    <rPh sb="13" eb="14">
      <t>ガツ</t>
    </rPh>
    <phoneticPr fontId="2"/>
  </si>
  <si>
    <t>支援分 個人別     9月</t>
    <rPh sb="13" eb="14">
      <t>ガツ</t>
    </rPh>
    <phoneticPr fontId="2"/>
  </si>
  <si>
    <t>支援分 個人別     1月</t>
    <rPh sb="13" eb="14">
      <t>ガツ</t>
    </rPh>
    <phoneticPr fontId="2"/>
  </si>
  <si>
    <t>支援分 個人別     2月</t>
    <rPh sb="13" eb="14">
      <t>ガツ</t>
    </rPh>
    <phoneticPr fontId="2"/>
  </si>
  <si>
    <t>支援分 個人別     3月</t>
    <rPh sb="13" eb="14">
      <t>ガツ</t>
    </rPh>
    <phoneticPr fontId="2"/>
  </si>
  <si>
    <t>介護分 個人別   4月</t>
    <rPh sb="11" eb="12">
      <t>ガツ</t>
    </rPh>
    <phoneticPr fontId="2"/>
  </si>
  <si>
    <t>介護分 個人別   5月</t>
    <rPh sb="11" eb="12">
      <t>ガツ</t>
    </rPh>
    <phoneticPr fontId="2"/>
  </si>
  <si>
    <t>介護分 個人別   6月</t>
    <rPh sb="11" eb="12">
      <t>ガツ</t>
    </rPh>
    <phoneticPr fontId="2"/>
  </si>
  <si>
    <t>介護分 個人別   7月</t>
    <rPh sb="11" eb="12">
      <t>ガツ</t>
    </rPh>
    <phoneticPr fontId="2"/>
  </si>
  <si>
    <t>介護分 個人別   8月</t>
    <rPh sb="11" eb="12">
      <t>ガツ</t>
    </rPh>
    <phoneticPr fontId="2"/>
  </si>
  <si>
    <t>介護分 個人別   9月</t>
    <rPh sb="11" eb="12">
      <t>ガツ</t>
    </rPh>
    <phoneticPr fontId="2"/>
  </si>
  <si>
    <t>介護分 個人別   1月</t>
    <rPh sb="11" eb="12">
      <t>ガツ</t>
    </rPh>
    <phoneticPr fontId="2"/>
  </si>
  <si>
    <t>介護分 個人別   2月</t>
    <rPh sb="11" eb="12">
      <t>ガツ</t>
    </rPh>
    <phoneticPr fontId="2"/>
  </si>
  <si>
    <t>介護分 個人別   3月</t>
    <rPh sb="11" eb="12">
      <t>ガツ</t>
    </rPh>
    <phoneticPr fontId="2"/>
  </si>
  <si>
    <t>平等割   （医療分）  旧国保</t>
    <rPh sb="13" eb="16">
      <t>キュウコクホ</t>
    </rPh>
    <phoneticPr fontId="2"/>
  </si>
  <si>
    <t>備  考</t>
    <rPh sb="0" eb="1">
      <t>ビ</t>
    </rPh>
    <rPh sb="3" eb="4">
      <t>コウ</t>
    </rPh>
    <phoneticPr fontId="2"/>
  </si>
  <si>
    <t>項  目</t>
    <rPh sb="0" eb="1">
      <t>コウ</t>
    </rPh>
    <rPh sb="3" eb="4">
      <t>メ</t>
    </rPh>
    <phoneticPr fontId="2"/>
  </si>
  <si>
    <r>
      <t>■</t>
    </r>
    <r>
      <rPr>
        <b/>
        <sz val="12"/>
        <rFont val="BIZ UDPゴシック"/>
        <family val="3"/>
        <charset val="128"/>
      </rPr>
      <t xml:space="preserve">  ３　生年月日　（ 世帯主および加入者 ）</t>
    </r>
    <phoneticPr fontId="2"/>
  </si>
  <si>
    <r>
      <t>　　・ 生年月日は「和暦の元号番号＋年月日」を</t>
    </r>
    <r>
      <rPr>
        <b/>
        <u val="double"/>
        <sz val="12"/>
        <rFont val="BIZ UDPゴシック"/>
        <family val="3"/>
        <charset val="128"/>
      </rPr>
      <t>７桁</t>
    </r>
    <r>
      <rPr>
        <sz val="12"/>
        <rFont val="BIZ UDPゴシック"/>
        <family val="3"/>
        <charset val="128"/>
      </rPr>
      <t>で入力してください。</t>
    </r>
    <phoneticPr fontId="2"/>
  </si>
  <si>
    <r>
      <t>　　　</t>
    </r>
    <r>
      <rPr>
        <b/>
        <sz val="12"/>
        <rFont val="BIZ UDPゴシック"/>
        <family val="3"/>
        <charset val="128"/>
      </rPr>
      <t>例　：　昭和５1年３月４日生 → ３５1０３０４</t>
    </r>
    <rPh sb="16" eb="17">
      <t>セイ</t>
    </rPh>
    <phoneticPr fontId="2"/>
  </si>
  <si>
    <r>
      <rPr>
        <b/>
        <sz val="12"/>
        <rFont val="BIZ UDPゴシック"/>
        <family val="3"/>
        <charset val="128"/>
      </rPr>
      <t>収入金額</t>
    </r>
    <r>
      <rPr>
        <sz val="12"/>
        <rFont val="BIZ UDPゴシック"/>
        <family val="3"/>
        <charset val="128"/>
      </rPr>
      <t xml:space="preserve">
（ 支払金額 ）</t>
    </r>
    <rPh sb="0" eb="2">
      <t>シュウニュウ</t>
    </rPh>
    <rPh sb="2" eb="4">
      <t>キンガク</t>
    </rPh>
    <rPh sb="7" eb="9">
      <t>シハライ</t>
    </rPh>
    <rPh sb="9" eb="11">
      <t>キンガク</t>
    </rPh>
    <phoneticPr fontId="2"/>
  </si>
  <si>
    <r>
      <rPr>
        <b/>
        <sz val="12"/>
        <rFont val="BIZ UDPゴシック"/>
        <family val="3"/>
        <charset val="128"/>
      </rPr>
      <t>所得金額</t>
    </r>
    <r>
      <rPr>
        <sz val="12"/>
        <rFont val="BIZ UDPゴシック"/>
        <family val="3"/>
        <charset val="128"/>
      </rPr>
      <t>　
（ 収入− 必要経費 ）</t>
    </r>
    <rPh sb="0" eb="4">
      <t>ショトクキンガク</t>
    </rPh>
    <phoneticPr fontId="2"/>
  </si>
  <si>
    <r>
      <t>　（１） 離職時点で</t>
    </r>
    <r>
      <rPr>
        <u val="double"/>
        <sz val="14"/>
        <rFont val="BIZ UDゴシック"/>
        <family val="3"/>
        <charset val="128"/>
      </rPr>
      <t>６５歳未満</t>
    </r>
    <r>
      <rPr>
        <sz val="14"/>
        <rFont val="BIZ UDゴシック"/>
        <family val="3"/>
        <charset val="128"/>
      </rPr>
      <t>の人 　　</t>
    </r>
    <phoneticPr fontId="2"/>
  </si>
  <si>
    <t>１８歳 【未満】 均等割   （子ども・子育て分）</t>
    <rPh sb="2" eb="3">
      <t>サイ</t>
    </rPh>
    <rPh sb="5" eb="7">
      <t>ミマン</t>
    </rPh>
    <rPh sb="9" eb="11">
      <t>キントウ</t>
    </rPh>
    <phoneticPr fontId="2"/>
  </si>
  <si>
    <r>
      <t xml:space="preserve">国民健康保険税　  仮計算      </t>
    </r>
    <r>
      <rPr>
        <b/>
        <sz val="20"/>
        <color indexed="9"/>
        <rFont val="BIZ UDPゴシック"/>
        <family val="3"/>
        <charset val="128"/>
      </rPr>
      <t>白</t>
    </r>
    <rPh sb="0" eb="2">
      <t>コクミン</t>
    </rPh>
    <rPh sb="2" eb="4">
      <t>ケンコウ</t>
    </rPh>
    <rPh sb="4" eb="6">
      <t>ホケン</t>
    </rPh>
    <rPh sb="6" eb="7">
      <t>ゼイ</t>
    </rPh>
    <rPh sb="10" eb="11">
      <t>カリ</t>
    </rPh>
    <rPh sb="11" eb="13">
      <t>ケイサン</t>
    </rPh>
    <rPh sb="19" eb="20">
      <t>シロ</t>
    </rPh>
    <phoneticPr fontId="2"/>
  </si>
  <si>
    <t>４３万円＋１０万円　×（給与所得者等－１）</t>
    <rPh sb="2" eb="4">
      <t>マンエン</t>
    </rPh>
    <rPh sb="7" eb="9">
      <t>マンエン</t>
    </rPh>
    <rPh sb="11" eb="13">
      <t>キュウヨ</t>
    </rPh>
    <rPh sb="13" eb="16">
      <t>ショトクシャ</t>
    </rPh>
    <rPh sb="16" eb="17">
      <t>トウ</t>
    </rPh>
    <phoneticPr fontId="2"/>
  </si>
  <si>
    <t xml:space="preserve"> 手取り額でありません　
 源泉徴収票でご確認ください
 遺族・障害年金は非課税のため対象外です</t>
    <rPh sb="4" eb="5">
      <t>ガク</t>
    </rPh>
    <rPh sb="29" eb="31">
      <t>イゾク</t>
    </rPh>
    <rPh sb="31" eb="35">
      <t>ショウガイネンキン</t>
    </rPh>
    <rPh sb="37" eb="40">
      <t>ヒカゼイ</t>
    </rPh>
    <rPh sb="43" eb="46">
      <t>タイショウガイ</t>
    </rPh>
    <rPh sb="45" eb="46">
      <t>ガイ</t>
    </rPh>
    <phoneticPr fontId="2"/>
  </si>
  <si>
    <t xml:space="preserve"> ☆旧国保世帯員</t>
    <rPh sb="2" eb="5">
      <t>キュウコクホ</t>
    </rPh>
    <rPh sb="5" eb="8">
      <t>セタイイン</t>
    </rPh>
    <phoneticPr fontId="2"/>
  </si>
  <si>
    <t>遺族・障害年金(非課税)除く</t>
    <rPh sb="0" eb="2">
      <t>イゾク</t>
    </rPh>
    <rPh sb="3" eb="5">
      <t>ショウガイ</t>
    </rPh>
    <rPh sb="5" eb="7">
      <t>ネンキン</t>
    </rPh>
    <rPh sb="8" eb="11">
      <t>ヒカゼイ</t>
    </rPh>
    <rPh sb="12" eb="13">
      <t>ノゾ</t>
    </rPh>
    <phoneticPr fontId="2"/>
  </si>
  <si>
    <t xml:space="preserve"> (軽減判定）</t>
    <rPh sb="2" eb="4">
      <t>ケイゲン</t>
    </rPh>
    <rPh sb="4" eb="6">
      <t>ハンテイ</t>
    </rPh>
    <phoneticPr fontId="2"/>
  </si>
  <si>
    <t xml:space="preserve">高齢者特別控除 </t>
    <rPh sb="0" eb="3">
      <t>コウレイシャ</t>
    </rPh>
    <rPh sb="3" eb="5">
      <t>トクベツ</t>
    </rPh>
    <rPh sb="5" eb="7">
      <t>コウジョ</t>
    </rPh>
    <phoneticPr fontId="2"/>
  </si>
  <si>
    <t>6歳以下　（年度末）</t>
    <rPh sb="1" eb="2">
      <t>サイ</t>
    </rPh>
    <rPh sb="2" eb="4">
      <t>イカ</t>
    </rPh>
    <rPh sb="6" eb="9">
      <t>ネンドマツ</t>
    </rPh>
    <phoneticPr fontId="2"/>
  </si>
  <si>
    <t>18歳以上　（年度当初）</t>
    <rPh sb="2" eb="3">
      <t>サイ</t>
    </rPh>
    <rPh sb="3" eb="5">
      <t>イジョウ</t>
    </rPh>
    <rPh sb="7" eb="9">
      <t>ネンド</t>
    </rPh>
    <rPh sb="9" eb="11">
      <t>トウショ</t>
    </rPh>
    <phoneticPr fontId="2"/>
  </si>
  <si>
    <t>項　目</t>
    <rPh sb="0" eb="1">
      <t>コウ</t>
    </rPh>
    <rPh sb="2" eb="3">
      <t>メ</t>
    </rPh>
    <phoneticPr fontId="2"/>
  </si>
  <si>
    <t>備考</t>
    <rPh sb="0" eb="1">
      <t>ビ</t>
    </rPh>
    <rPh sb="1" eb="2">
      <t>コウ</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</si>
  <si>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</si>
  <si>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</si>
  <si>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</si>
  <si>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</si>
  <si>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</si>
  <si>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</si>
  <si>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</si>
  <si>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</si>
  <si>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</si>
  <si>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電話番号</t>
    <phoneticPr fontId="2"/>
  </si>
  <si>
    <t>加入日</t>
    <phoneticPr fontId="2"/>
  </si>
  <si>
    <t>所得割按分（限度額反映）</t>
    <rPh sb="0" eb="3">
      <t>ショトクワリ</t>
    </rPh>
    <rPh sb="3" eb="5">
      <t>アンブン</t>
    </rPh>
    <rPh sb="6" eb="9">
      <t>ゲンドガク</t>
    </rPh>
    <rPh sb="9" eb="11">
      <t>ハンエイ</t>
    </rPh>
    <phoneticPr fontId="2"/>
  </si>
  <si>
    <t>介護分</t>
    <phoneticPr fontId="2"/>
  </si>
  <si>
    <t>平等割   （介護分）</t>
    <rPh sb="7" eb="9">
      <t>カイゴ</t>
    </rPh>
    <rPh sb="9" eb="10">
      <t>ブン</t>
    </rPh>
    <phoneticPr fontId="2"/>
  </si>
  <si>
    <t>所得割    （介護分）</t>
    <rPh sb="0" eb="2">
      <t>ショトク</t>
    </rPh>
    <rPh sb="2" eb="3">
      <t>ワリ</t>
    </rPh>
    <rPh sb="8" eb="10">
      <t>カイゴ</t>
    </rPh>
    <rPh sb="10" eb="11">
      <t>ブン</t>
    </rPh>
    <phoneticPr fontId="2"/>
  </si>
  <si>
    <t>均等割    （介護分）</t>
    <rPh sb="8" eb="10">
      <t>カイゴ</t>
    </rPh>
    <rPh sb="10" eb="11">
      <t>ブン</t>
    </rPh>
    <phoneticPr fontId="2"/>
  </si>
  <si>
    <t>均等割   （介護分）</t>
    <rPh sb="7" eb="9">
      <t>カイゴ</t>
    </rPh>
    <rPh sb="9" eb="10">
      <t>ブン</t>
    </rPh>
    <phoneticPr fontId="2"/>
  </si>
  <si>
    <t>所得割   （介護分）</t>
    <rPh sb="7" eb="9">
      <t>カイゴ</t>
    </rPh>
    <rPh sb="9" eb="10">
      <t>ブン</t>
    </rPh>
    <phoneticPr fontId="2"/>
  </si>
  <si>
    <t>年度を選択してください！</t>
    <rPh sb="0" eb="2">
      <t>ネンド</t>
    </rPh>
    <rPh sb="3" eb="5">
      <t>センタク</t>
    </rPh>
    <phoneticPr fontId="2"/>
  </si>
  <si>
    <t>税額　①変更前　　　　　　円／　　ヶ月　　→　　　②変更後</t>
    <rPh sb="0" eb="2">
      <t>ゼイガク</t>
    </rPh>
    <rPh sb="4" eb="6">
      <t>ヘンコウ</t>
    </rPh>
    <rPh sb="6" eb="7">
      <t>マエ</t>
    </rPh>
    <rPh sb="13" eb="14">
      <t>エン</t>
    </rPh>
    <rPh sb="18" eb="19">
      <t>ガツ</t>
    </rPh>
    <rPh sb="26" eb="28">
      <t>ヘンコウ</t>
    </rPh>
    <rPh sb="28" eb="29">
      <t>ゴ</t>
    </rPh>
    <phoneticPr fontId="2"/>
  </si>
  <si>
    <t>　　　　年度　 後期高齢者医療保険料　仮計算</t>
    <phoneticPr fontId="2"/>
  </si>
  <si>
    <t>　　・ 仮計算したい保険税の年度を確認してください。（　令和７年度　か　令和８年度　）　</t>
    <rPh sb="4" eb="7">
      <t>カリケイサン</t>
    </rPh>
    <rPh sb="10" eb="13">
      <t>ホケンゼイ</t>
    </rPh>
    <rPh sb="14" eb="16">
      <t>ネンド</t>
    </rPh>
    <rPh sb="17" eb="19">
      <t>カクニン</t>
    </rPh>
    <rPh sb="28" eb="30">
      <t>レイワ</t>
    </rPh>
    <rPh sb="31" eb="33">
      <t>ネンド</t>
    </rPh>
    <rPh sb="36" eb="38">
      <t>レイワ</t>
    </rPh>
    <rPh sb="39" eb="41">
      <t>ネンド</t>
    </rPh>
    <phoneticPr fontId="2"/>
  </si>
  <si>
    <t>年度内日付・入力OK</t>
    <rPh sb="0" eb="2">
      <t>ネンド</t>
    </rPh>
    <rPh sb="2" eb="3">
      <t>ナイ</t>
    </rPh>
    <rPh sb="3" eb="5">
      <t>ヒヅケ</t>
    </rPh>
    <rPh sb="6" eb="8">
      <t>ニュウリョク</t>
    </rPh>
    <phoneticPr fontId="2"/>
  </si>
  <si>
    <r>
      <rPr>
        <b/>
        <sz val="14"/>
        <rFont val="BIZ UDPゴシック"/>
        <family val="3"/>
        <charset val="128"/>
      </rPr>
      <t xml:space="preserve"> ● </t>
    </r>
    <r>
      <rPr>
        <b/>
        <sz val="12"/>
        <rFont val="BIZ UDPゴシック"/>
        <family val="3"/>
        <charset val="128"/>
      </rPr>
      <t xml:space="preserve">は入力必須です。            　               </t>
    </r>
    <r>
      <rPr>
        <b/>
        <sz val="12"/>
        <color indexed="9"/>
        <rFont val="BIZ UDPゴシック"/>
        <family val="3"/>
        <charset val="128"/>
      </rPr>
      <t xml:space="preserve">         白</t>
    </r>
    <r>
      <rPr>
        <b/>
        <sz val="12"/>
        <rFont val="BIZ UDPゴシック"/>
        <family val="3"/>
        <charset val="128"/>
      </rPr>
      <t xml:space="preserve">
 </t>
    </r>
    <r>
      <rPr>
        <b/>
        <u val="double"/>
        <sz val="14"/>
        <rFont val="BIZ UDPゴシック"/>
        <family val="3"/>
        <charset val="128"/>
      </rPr>
      <t xml:space="preserve">〇 </t>
    </r>
    <r>
      <rPr>
        <b/>
        <u val="double"/>
        <sz val="12"/>
        <rFont val="BIZ UDPゴシック"/>
        <family val="3"/>
        <charset val="128"/>
      </rPr>
      <t xml:space="preserve">は該当する時のみ入力してください! </t>
    </r>
    <r>
      <rPr>
        <sz val="12"/>
        <rFont val="BIZ UDPゴシック"/>
        <family val="3"/>
        <charset val="128"/>
      </rPr>
      <t xml:space="preserve">            </t>
    </r>
    <r>
      <rPr>
        <sz val="12"/>
        <color indexed="9"/>
        <rFont val="BIZ UDPゴシック"/>
        <family val="3"/>
        <charset val="128"/>
      </rPr>
      <t>白</t>
    </r>
    <rPh sb="4" eb="6">
      <t>ニュウリョク</t>
    </rPh>
    <rPh sb="6" eb="8">
      <t>ヒッス</t>
    </rPh>
    <rPh sb="48" eb="49">
      <t>シロ</t>
    </rPh>
    <rPh sb="54" eb="56">
      <t>ガイトウ</t>
    </rPh>
    <rPh sb="58" eb="59">
      <t>トキ</t>
    </rPh>
    <rPh sb="61" eb="63">
      <t>ニュウリョク</t>
    </rPh>
    <phoneticPr fontId="2"/>
  </si>
  <si>
    <r>
      <t>このシートでは、</t>
    </r>
    <r>
      <rPr>
        <b/>
        <sz val="12"/>
        <rFont val="BIZ UDPゴシック"/>
        <family val="3"/>
        <charset val="128"/>
      </rPr>
      <t>令和７年度（ 令和７年４月〜令和８年３月 ） の国民健康保険税</t>
    </r>
    <r>
      <rPr>
        <sz val="12"/>
        <rFont val="BIZ UDPゴシック"/>
        <family val="3"/>
        <charset val="128"/>
      </rPr>
      <t>を、おおよその金額で試算できます。</t>
    </r>
    <rPh sb="22" eb="24">
      <t>レイワ</t>
    </rPh>
    <phoneticPr fontId="2"/>
  </si>
  <si>
    <t>・ 年度の途中で世帯主が変わった方がいる</t>
    <rPh sb="8" eb="11">
      <t>セタイヌシ</t>
    </rPh>
    <rPh sb="12" eb="13">
      <t>カ</t>
    </rPh>
    <rPh sb="16" eb="17">
      <t>カタ</t>
    </rPh>
    <phoneticPr fontId="2"/>
  </si>
  <si>
    <t>専従者給与含まず</t>
    <rPh sb="0" eb="3">
      <t>センジュウシャ</t>
    </rPh>
    <rPh sb="3" eb="5">
      <t>キュウヨ</t>
    </rPh>
    <rPh sb="5" eb="6">
      <t>フク</t>
    </rPh>
    <phoneticPr fontId="2"/>
  </si>
  <si>
    <t>専従者給与含む</t>
    <rPh sb="0" eb="3">
      <t>センジュウシャ</t>
    </rPh>
    <rPh sb="3" eb="5">
      <t>キュウヨ</t>
    </rPh>
    <rPh sb="5" eb="6">
      <t>フク</t>
    </rPh>
    <phoneticPr fontId="2"/>
  </si>
  <si>
    <t xml:space="preserve">  国民健康保険から後期高齢者医療保険に加入した擬制世帯主　（ ７５歳以上、障害認定者 ）</t>
    <rPh sb="34" eb="35">
      <t>サイ</t>
    </rPh>
    <rPh sb="35" eb="37">
      <t>イジョウ</t>
    </rPh>
    <rPh sb="38" eb="40">
      <t>ショウガイ</t>
    </rPh>
    <rPh sb="40" eb="43">
      <t>ニンテイシャ</t>
    </rPh>
    <phoneticPr fontId="2"/>
  </si>
  <si>
    <t xml:space="preserve">  国民健康保険から後期高齢者医療保険に加入した世帯員 　     （ ７５歳以上、障害認定者 ）</t>
    <rPh sb="24" eb="27">
      <t>セタイイン</t>
    </rPh>
    <phoneticPr fontId="2"/>
  </si>
  <si>
    <t>75歳到達 1日前  (障害認定 起算日)</t>
    <rPh sb="2" eb="3">
      <t>サイ</t>
    </rPh>
    <rPh sb="3" eb="5">
      <t>トウタツ</t>
    </rPh>
    <rPh sb="7" eb="8">
      <t>ニチ</t>
    </rPh>
    <rPh sb="8" eb="9">
      <t>マエ</t>
    </rPh>
    <rPh sb="12" eb="14">
      <t>ショウガイ</t>
    </rPh>
    <rPh sb="14" eb="16">
      <t>ニンテイ</t>
    </rPh>
    <rPh sb="17" eb="20">
      <t>キサンビ</t>
    </rPh>
    <phoneticPr fontId="2"/>
  </si>
  <si>
    <r>
      <t>該当する項目を</t>
    </r>
    <r>
      <rPr>
        <b/>
        <u val="double"/>
        <sz val="12"/>
        <rFont val="BIZ UDPゴシック"/>
        <family val="3"/>
        <charset val="128"/>
      </rPr>
      <t>正確に選択</t>
    </r>
    <r>
      <rPr>
        <sz val="12"/>
        <rFont val="BIZ UDPゴシック"/>
        <family val="3"/>
        <charset val="128"/>
      </rPr>
      <t>してください</t>
    </r>
    <rPh sb="0" eb="2">
      <t>ガイトウ</t>
    </rPh>
    <rPh sb="4" eb="6">
      <t>コウモク</t>
    </rPh>
    <rPh sb="7" eb="9">
      <t>セイカク</t>
    </rPh>
    <rPh sb="10" eb="12">
      <t>センタク</t>
    </rPh>
    <phoneticPr fontId="2"/>
  </si>
  <si>
    <t>不動産所得</t>
  </si>
  <si>
    <t>プラスのみ</t>
  </si>
  <si>
    <t>－</t>
  </si>
  <si>
    <t>黒字・赤字</t>
  </si>
  <si>
    <t>◆　③　その他所得</t>
    <phoneticPr fontId="2"/>
  </si>
  <si>
    <t>不動産、農業、譲渡所得、株等</t>
    <phoneticPr fontId="2"/>
  </si>
  <si>
    <t>上場株式等の譲渡所得</t>
  </si>
  <si>
    <t>配当所得</t>
  </si>
  <si>
    <t>先物取引に係る雑所得等</t>
  </si>
  <si>
    <t>短期譲渡所得（軽減分）</t>
  </si>
  <si>
    <t>給与所得</t>
  </si>
  <si>
    <t>事業所得（営業等）</t>
  </si>
  <si>
    <t>事業所得（農業）</t>
  </si>
  <si>
    <t>雑所得（公的年金等）</t>
  </si>
  <si>
    <t>雑所得（その他）</t>
  </si>
  <si>
    <t>介護分</t>
    <rPh sb="0" eb="3">
      <t>カイゴブン</t>
    </rPh>
    <phoneticPr fontId="2"/>
  </si>
  <si>
    <t>総合課税内で通算可</t>
  </si>
  <si>
    <t>〇</t>
  </si>
  <si>
    <t>×</t>
  </si>
  <si>
    <t>同じ区分（69）内のみ通算可</t>
  </si>
  <si>
    <t>同じ区分（67）内のみ通算可</t>
  </si>
  <si>
    <t>同じ区分（68）内のみ通算可</t>
  </si>
  <si>
    <t>同じ区分（70）内のみ通算可</t>
  </si>
  <si>
    <t>同じ区分（71）内のみ通算可</t>
  </si>
  <si>
    <t>同じ区分（72）内のみ通算可</t>
  </si>
  <si>
    <t>同じ区分（75）内のみ通算可</t>
  </si>
  <si>
    <t>表中
番号</t>
    <phoneticPr fontId="2"/>
  </si>
  <si>
    <r>
      <t>③　その他所得　</t>
    </r>
    <r>
      <rPr>
        <b/>
        <sz val="16"/>
        <rFont val="BIZ UDPゴシック"/>
        <family val="3"/>
        <charset val="128"/>
      </rPr>
      <t>　(　「申告書 （第一表）」　と　「分離課税 （分離課税用　第三表）」　をご確認ください　)</t>
    </r>
    <rPh sb="4" eb="5">
      <t>タ</t>
    </rPh>
    <rPh sb="5" eb="7">
      <t>ショトク</t>
    </rPh>
    <rPh sb="12" eb="15">
      <t>シンコクショ</t>
    </rPh>
    <rPh sb="17" eb="18">
      <t>ダイ</t>
    </rPh>
    <rPh sb="18" eb="20">
      <t>イチヒョウ</t>
    </rPh>
    <rPh sb="26" eb="30">
      <t>ブンリカゼイ</t>
    </rPh>
    <rPh sb="32" eb="37">
      <t>ブンリカゼイヨウ</t>
    </rPh>
    <rPh sb="38" eb="39">
      <t>ダイ</t>
    </rPh>
    <rPh sb="39" eb="40">
      <t>サン</t>
    </rPh>
    <rPh sb="40" eb="41">
      <t>ヒョウ</t>
    </rPh>
    <rPh sb="46" eb="48">
      <t>カクニン</t>
    </rPh>
    <phoneticPr fontId="2"/>
  </si>
  <si>
    <t>非自発・旧被扶</t>
    <rPh sb="0" eb="1">
      <t>ヒ</t>
    </rPh>
    <rPh sb="1" eb="3">
      <t>ジハツ</t>
    </rPh>
    <rPh sb="4" eb="5">
      <t>キュウ</t>
    </rPh>
    <rPh sb="5" eb="6">
      <t>ヒ</t>
    </rPh>
    <rPh sb="6" eb="7">
      <t>フ</t>
    </rPh>
    <phoneticPr fontId="2"/>
  </si>
  <si>
    <t>産前産後</t>
    <rPh sb="0" eb="2">
      <t>サンゼン</t>
    </rPh>
    <rPh sb="2" eb="4">
      <t>サンゴ</t>
    </rPh>
    <phoneticPr fontId="2"/>
  </si>
  <si>
    <t>通算不可（赤字０扱い）</t>
    <rPh sb="0" eb="2">
      <t>ツウサン</t>
    </rPh>
    <rPh sb="2" eb="4">
      <t>フカ</t>
    </rPh>
    <rPh sb="5" eb="7">
      <t>アカジ</t>
    </rPh>
    <rPh sb="8" eb="9">
      <t>アツカ</t>
    </rPh>
    <phoneticPr fontId="2"/>
  </si>
  <si>
    <t>譲渡：総合課税内で通算可
一時：通算不可（赤字0扱い）</t>
    <rPh sb="0" eb="2">
      <t>ジョウト</t>
    </rPh>
    <rPh sb="13" eb="15">
      <t>イチジ</t>
    </rPh>
    <rPh sb="16" eb="20">
      <t>ツウサンフカ</t>
    </rPh>
    <rPh sb="21" eb="23">
      <t>アカジ</t>
    </rPh>
    <rPh sb="24" eb="25">
      <t>アツカ</t>
    </rPh>
    <phoneticPr fontId="2"/>
  </si>
  <si>
    <t>総合課税の譲渡・一時所得</t>
    <phoneticPr fontId="2"/>
  </si>
  <si>
    <t>国保所得割
対象所得</t>
    <rPh sb="6" eb="8">
      <t>タイショウ</t>
    </rPh>
    <rPh sb="8" eb="10">
      <t>ショトク</t>
    </rPh>
    <phoneticPr fontId="2"/>
  </si>
  <si>
    <t>国保軽減判定
対象所得</t>
    <rPh sb="7" eb="9">
      <t>タイショウ</t>
    </rPh>
    <rPh sb="9" eb="11">
      <t>ショトク</t>
    </rPh>
    <phoneticPr fontId="2"/>
  </si>
  <si>
    <t>　　・ 起算日　　４月１日　   （年度初日）　または 　「 国保資格を取得した日　」</t>
    <rPh sb="18" eb="20">
      <t>ネンド</t>
    </rPh>
    <rPh sb="20" eb="22">
      <t>ショニチ</t>
    </rPh>
    <rPh sb="33" eb="35">
      <t>シカク</t>
    </rPh>
    <rPh sb="36" eb="38">
      <t>シュトク</t>
    </rPh>
    <phoneticPr fontId="2"/>
  </si>
  <si>
    <t>加入</t>
    <rPh sb="0" eb="2">
      <t>カニュウ</t>
    </rPh>
    <phoneticPr fontId="2"/>
  </si>
  <si>
    <t>転入</t>
    <rPh sb="0" eb="2">
      <t>テンニュウ</t>
    </rPh>
    <phoneticPr fontId="2"/>
  </si>
  <si>
    <t>転入した日</t>
    <rPh sb="0" eb="2">
      <t>テンニュウ</t>
    </rPh>
    <rPh sb="4" eb="5">
      <t>ヒ</t>
    </rPh>
    <phoneticPr fontId="2"/>
  </si>
  <si>
    <t>社会保険離脱</t>
    <rPh sb="0" eb="2">
      <t>シャカイ</t>
    </rPh>
    <rPh sb="2" eb="4">
      <t>ホケン</t>
    </rPh>
    <rPh sb="4" eb="6">
      <t>リダツ</t>
    </rPh>
    <phoneticPr fontId="2"/>
  </si>
  <si>
    <t>退職した日の翌日、扶養をはずれた日</t>
    <rPh sb="0" eb="2">
      <t>タイショク</t>
    </rPh>
    <rPh sb="4" eb="5">
      <t>ヒ</t>
    </rPh>
    <rPh sb="6" eb="8">
      <t>ヨクジツ</t>
    </rPh>
    <rPh sb="9" eb="11">
      <t>フヨウ</t>
    </rPh>
    <rPh sb="16" eb="17">
      <t>ヒ</t>
    </rPh>
    <phoneticPr fontId="2"/>
  </si>
  <si>
    <t>国保組合離脱</t>
    <phoneticPr fontId="2"/>
  </si>
  <si>
    <t>組合員の資格を喪失した日</t>
    <rPh sb="0" eb="3">
      <t>クミアイイン</t>
    </rPh>
    <rPh sb="4" eb="6">
      <t>シカク</t>
    </rPh>
    <rPh sb="7" eb="9">
      <t>ソウシツ</t>
    </rPh>
    <rPh sb="11" eb="12">
      <t>ヒ</t>
    </rPh>
    <phoneticPr fontId="2"/>
  </si>
  <si>
    <t>出生</t>
    <rPh sb="0" eb="2">
      <t>シュッショウ</t>
    </rPh>
    <phoneticPr fontId="2"/>
  </si>
  <si>
    <t>生まれた日</t>
    <rPh sb="0" eb="1">
      <t>ウ</t>
    </rPh>
    <rPh sb="4" eb="5">
      <t>ヒ</t>
    </rPh>
    <phoneticPr fontId="2"/>
  </si>
  <si>
    <t>転出</t>
    <rPh sb="0" eb="2">
      <t>テンシュツ</t>
    </rPh>
    <phoneticPr fontId="2"/>
  </si>
  <si>
    <t>転出した日の翌日</t>
    <rPh sb="0" eb="2">
      <t>テンシュツ</t>
    </rPh>
    <rPh sb="4" eb="5">
      <t>ヒ</t>
    </rPh>
    <rPh sb="6" eb="8">
      <t>ヨクジツ</t>
    </rPh>
    <phoneticPr fontId="2"/>
  </si>
  <si>
    <t>社会保険加入</t>
    <rPh sb="0" eb="2">
      <t>シャカイ</t>
    </rPh>
    <rPh sb="2" eb="4">
      <t>ホケン</t>
    </rPh>
    <rPh sb="4" eb="6">
      <t>カニュウ</t>
    </rPh>
    <phoneticPr fontId="2"/>
  </si>
  <si>
    <t>社会保険に加入した日の翌日</t>
    <rPh sb="0" eb="2">
      <t>シャカイ</t>
    </rPh>
    <rPh sb="2" eb="4">
      <t>ホケン</t>
    </rPh>
    <rPh sb="5" eb="7">
      <t>カニュウ</t>
    </rPh>
    <rPh sb="9" eb="10">
      <t>ヒ</t>
    </rPh>
    <rPh sb="11" eb="13">
      <t>ヨクジツ</t>
    </rPh>
    <phoneticPr fontId="2"/>
  </si>
  <si>
    <t>国保組合に加入した日</t>
    <rPh sb="0" eb="2">
      <t>コクホ</t>
    </rPh>
    <rPh sb="2" eb="4">
      <t>クミアイ</t>
    </rPh>
    <rPh sb="5" eb="7">
      <t>カニュウ</t>
    </rPh>
    <rPh sb="9" eb="10">
      <t>ヒ</t>
    </rPh>
    <phoneticPr fontId="2"/>
  </si>
  <si>
    <t>後期高齢者医療加入</t>
    <rPh sb="0" eb="2">
      <t>コウキ</t>
    </rPh>
    <rPh sb="2" eb="5">
      <t>コウレイシャ</t>
    </rPh>
    <rPh sb="5" eb="7">
      <t>イリョウ</t>
    </rPh>
    <rPh sb="7" eb="9">
      <t>カニュウ</t>
    </rPh>
    <phoneticPr fontId="2"/>
  </si>
  <si>
    <t>７５歳の誕生日の翌日</t>
    <rPh sb="2" eb="3">
      <t>サイ</t>
    </rPh>
    <rPh sb="4" eb="7">
      <t>タンジョウビ</t>
    </rPh>
    <rPh sb="8" eb="10">
      <t>ヨクジツ</t>
    </rPh>
    <phoneticPr fontId="2"/>
  </si>
  <si>
    <t>死亡</t>
    <rPh sb="0" eb="2">
      <t>シボウ</t>
    </rPh>
    <phoneticPr fontId="2"/>
  </si>
  <si>
    <t>死亡した日の翌日</t>
    <rPh sb="0" eb="2">
      <t>シボウ</t>
    </rPh>
    <rPh sb="4" eb="5">
      <t>ヒ</t>
    </rPh>
    <rPh sb="6" eb="8">
      <t>ヨクジツ</t>
    </rPh>
    <phoneticPr fontId="2"/>
  </si>
  <si>
    <t xml:space="preserve"> 　この試算はあくまで概算です。  </t>
    <phoneticPr fontId="2"/>
  </si>
  <si>
    <t xml:space="preserve"> 　実際の保険税額は、市が納税通知書で決定した金額となります。</t>
    <rPh sb="13" eb="18">
      <t>ノウゼイツウチショ</t>
    </rPh>
    <phoneticPr fontId="2"/>
  </si>
  <si>
    <t>内  容</t>
    <rPh sb="0" eb="1">
      <t>ナイ</t>
    </rPh>
    <rPh sb="3" eb="4">
      <t>カタチ</t>
    </rPh>
    <phoneticPr fontId="2"/>
  </si>
  <si>
    <t>項　目</t>
    <rPh sb="0" eb="1">
      <t>コウ</t>
    </rPh>
    <phoneticPr fontId="2"/>
  </si>
  <si>
    <t>　世帯の所得が少ない場合、つぎの表に該当する世帯の人は、</t>
    <phoneticPr fontId="2"/>
  </si>
  <si>
    <t xml:space="preserve">　保険税のうち、均等割額と平等割額が軽減されます。 </t>
    <phoneticPr fontId="2"/>
  </si>
  <si>
    <r>
      <t xml:space="preserve">  離職理由コード　</t>
    </r>
    <r>
      <rPr>
        <b/>
        <u val="double"/>
        <sz val="14"/>
        <rFont val="BIZ UDゴシック"/>
        <family val="3"/>
        <charset val="128"/>
      </rPr>
      <t>１１,１２,２１,２２,２３,３１,３２,３３,３４</t>
    </r>
    <phoneticPr fontId="2"/>
  </si>
  <si>
    <t xml:space="preserve"> 【軽減期間】 離職日の翌日の属する月からその月の属する年度の翌年度末まで</t>
    <phoneticPr fontId="2"/>
  </si>
  <si>
    <t xml:space="preserve">  軽減を受けるには、保険年金課へ申告書の提出が必要です。 </t>
    <phoneticPr fontId="2"/>
  </si>
  <si>
    <t xml:space="preserve"> 会社の被用者保険（国保組合を除く）から後期高齢者医療制度に移行すること</t>
    <phoneticPr fontId="2"/>
  </si>
  <si>
    <t>　国保から後期高齢者医療制度に加入しても、同一世帯で国保に加入する方の</t>
    <phoneticPr fontId="2"/>
  </si>
  <si>
    <r>
      <t xml:space="preserve"> により、その扶養からはずれ国保に加入した</t>
    </r>
    <r>
      <rPr>
        <b/>
        <u val="double"/>
        <sz val="14"/>
        <rFont val="BIZ UDゴシック"/>
        <family val="3"/>
        <charset val="128"/>
      </rPr>
      <t>６５歳以上</t>
    </r>
    <r>
      <rPr>
        <u val="double"/>
        <sz val="14"/>
        <rFont val="BIZ UDゴシック"/>
        <family val="3"/>
        <charset val="128"/>
      </rPr>
      <t>の人</t>
    </r>
    <r>
      <rPr>
        <sz val="14"/>
        <rFont val="BIZ UDゴシック"/>
        <family val="3"/>
        <charset val="128"/>
      </rPr>
      <t>(旧被扶養者)は、</t>
    </r>
    <phoneticPr fontId="2"/>
  </si>
  <si>
    <t xml:space="preserve"> 下記の保険税の減額があります。</t>
    <phoneticPr fontId="2"/>
  </si>
  <si>
    <t xml:space="preserve"> 出産する被保険者の所得割額と均等割額が、産前産後期間相当分</t>
    <phoneticPr fontId="2"/>
  </si>
  <si>
    <t>　未就学児（小学校入学前の子ども）の均等割が半額になります。 　</t>
    <phoneticPr fontId="2"/>
  </si>
  <si>
    <t xml:space="preserve"> 原則、届け出が必要です。</t>
    <phoneticPr fontId="2"/>
  </si>
  <si>
    <t>　　　　　　　　　　　　　　　　　　　　　　　参考例　　　（収入の形態により該当する項目が異なる場合があります）</t>
    <rPh sb="23" eb="25">
      <t>サンコウ</t>
    </rPh>
    <rPh sb="25" eb="26">
      <t>レイ</t>
    </rPh>
    <rPh sb="30" eb="32">
      <t>シュウニュウ</t>
    </rPh>
    <rPh sb="33" eb="35">
      <t>ケイタイ</t>
    </rPh>
    <rPh sb="38" eb="40">
      <t>ガイトウ</t>
    </rPh>
    <rPh sb="42" eb="44">
      <t>コウモク</t>
    </rPh>
    <rPh sb="45" eb="46">
      <t>コト</t>
    </rPh>
    <rPh sb="48" eb="50">
      <t>バアイ</t>
    </rPh>
    <phoneticPr fontId="2"/>
  </si>
  <si>
    <t>年度初日</t>
    <rPh sb="0" eb="2">
      <t>ネンド</t>
    </rPh>
    <rPh sb="2" eb="4">
      <t>ショニチ</t>
    </rPh>
    <phoneticPr fontId="2"/>
  </si>
  <si>
    <t>年度末日</t>
    <rPh sb="0" eb="2">
      <t>ネンド</t>
    </rPh>
    <rPh sb="2" eb="3">
      <t>マツ</t>
    </rPh>
    <rPh sb="3" eb="4">
      <t>ニチ</t>
    </rPh>
    <phoneticPr fontId="2"/>
  </si>
  <si>
    <t>4月1日（年度初日）または 加入日</t>
    <rPh sb="5" eb="7">
      <t>ネンド</t>
    </rPh>
    <rPh sb="7" eb="9">
      <t>ショニチ</t>
    </rPh>
    <rPh sb="14" eb="17">
      <t>カニュウビ</t>
    </rPh>
    <phoneticPr fontId="2"/>
  </si>
  <si>
    <r>
      <t>終了日 　</t>
    </r>
    <r>
      <rPr>
        <sz val="11"/>
        <rFont val="BIZ UDPゴシック"/>
        <family val="3"/>
        <charset val="128"/>
      </rPr>
      <t>年度末日（初期値）</t>
    </r>
    <rPh sb="0" eb="3">
      <t>シュウリョウビ</t>
    </rPh>
    <rPh sb="3" eb="4">
      <t>シュウジツ</t>
    </rPh>
    <rPh sb="5" eb="7">
      <t>ネンド</t>
    </rPh>
    <rPh sb="7" eb="8">
      <t>マツ</t>
    </rPh>
    <rPh sb="8" eb="9">
      <t>ニチ</t>
    </rPh>
    <rPh sb="10" eb="13">
      <t>ショキチ</t>
    </rPh>
    <phoneticPr fontId="2"/>
  </si>
  <si>
    <t>単胎 ・ 多胎</t>
    <rPh sb="0" eb="1">
      <t>タン</t>
    </rPh>
    <rPh sb="1" eb="2">
      <t>タイ</t>
    </rPh>
    <rPh sb="5" eb="7">
      <t>タタイ</t>
    </rPh>
    <phoneticPr fontId="2"/>
  </si>
  <si>
    <t>・ 賦課限度額 （ 税額の上限 ） を判定します。</t>
    <rPh sb="19" eb="21">
      <t>ハンテイ</t>
    </rPh>
    <phoneticPr fontId="2"/>
  </si>
  <si>
    <t>【 正しく計算できない場合があります 】</t>
    <rPh sb="5" eb="7">
      <t>ケイサン</t>
    </rPh>
    <phoneticPr fontId="2"/>
  </si>
  <si>
    <t>異動事由</t>
    <rPh sb="0" eb="2">
      <t>イドウ</t>
    </rPh>
    <rPh sb="2" eb="4">
      <t>ジユウ</t>
    </rPh>
    <phoneticPr fontId="2"/>
  </si>
  <si>
    <t>脱退</t>
    <rPh sb="0" eb="2">
      <t>ダッタイ</t>
    </rPh>
    <phoneticPr fontId="2"/>
  </si>
  <si>
    <t>３月３１日（年度末日）または 脱退日</t>
    <rPh sb="6" eb="8">
      <t>ネンド</t>
    </rPh>
    <rPh sb="9" eb="10">
      <t>ニチ</t>
    </rPh>
    <rPh sb="15" eb="17">
      <t>ダッタイ</t>
    </rPh>
    <rPh sb="17" eb="18">
      <t>ヒ</t>
    </rPh>
    <phoneticPr fontId="2"/>
  </si>
  <si>
    <t>・ 資格の入力誤りがないか  ( 「 普通世帯主 」 を 「 擬制世帯主 」 として入力している )</t>
    <rPh sb="2" eb="4">
      <t>シカク</t>
    </rPh>
    <rPh sb="5" eb="7">
      <t>ニュウリョク</t>
    </rPh>
    <rPh sb="7" eb="8">
      <t>アヤマ</t>
    </rPh>
    <rPh sb="19" eb="21">
      <t>フツウ</t>
    </rPh>
    <rPh sb="21" eb="24">
      <t>セタイヌシ</t>
    </rPh>
    <rPh sb="31" eb="33">
      <t>ギセイ</t>
    </rPh>
    <rPh sb="33" eb="36">
      <t>セタイヌシ</t>
    </rPh>
    <rPh sb="42" eb="44">
      <t>ニュウリョク</t>
    </rPh>
    <phoneticPr fontId="2"/>
  </si>
  <si>
    <t>・ 日付の入力誤りがないか  （ 年度対象外の日付や実際と異なる資格喪失日を入力している ）</t>
    <rPh sb="7" eb="8">
      <t>アヤマ</t>
    </rPh>
    <rPh sb="19" eb="21">
      <t>タイショウ</t>
    </rPh>
    <rPh sb="26" eb="28">
      <t>ジッサイ</t>
    </rPh>
    <rPh sb="29" eb="30">
      <t>コト</t>
    </rPh>
    <rPh sb="32" eb="34">
      <t>シカク</t>
    </rPh>
    <rPh sb="34" eb="37">
      <t>ソウシツビ</t>
    </rPh>
    <rPh sb="38" eb="40">
      <t>ニュウリョク</t>
    </rPh>
    <phoneticPr fontId="2"/>
  </si>
  <si>
    <t>・ 収入金額を違う人や項目に入力していないか （ Aさんの収入をBさんに入力、「 給与収入 」 を 「 年金収入 」 に入力している )</t>
    <rPh sb="2" eb="4">
      <t>シュウニュウ</t>
    </rPh>
    <rPh sb="4" eb="6">
      <t>キンガク</t>
    </rPh>
    <rPh sb="7" eb="8">
      <t>チガ</t>
    </rPh>
    <rPh sb="9" eb="10">
      <t>ヒト</t>
    </rPh>
    <rPh sb="11" eb="13">
      <t>コウモク</t>
    </rPh>
    <rPh sb="14" eb="16">
      <t>ニュウリョク</t>
    </rPh>
    <phoneticPr fontId="2"/>
  </si>
  <si>
    <t>・ 年度の途中で加入・脱退をした方がいる  　　</t>
    <rPh sb="8" eb="10">
      <t>カニュウ</t>
    </rPh>
    <rPh sb="11" eb="13">
      <t>ダッタイ</t>
    </rPh>
    <rPh sb="16" eb="17">
      <t>カタ</t>
    </rPh>
    <phoneticPr fontId="2"/>
  </si>
  <si>
    <t xml:space="preserve"> 対象の方は、「出産予定日」 の入力と「単胎」か「多胎」 を選択して下さい。</t>
    <rPh sb="1" eb="3">
      <t>タイショウ</t>
    </rPh>
    <rPh sb="4" eb="5">
      <t>カタ</t>
    </rPh>
    <rPh sb="8" eb="10">
      <t>シュッサン</t>
    </rPh>
    <rPh sb="10" eb="13">
      <t>ヨテイビ</t>
    </rPh>
    <rPh sb="15" eb="17">
      <t>ニュウリョク</t>
    </rPh>
    <rPh sb="19" eb="20">
      <t>タン</t>
    </rPh>
    <rPh sb="20" eb="21">
      <t>タイ</t>
    </rPh>
    <rPh sb="24" eb="26">
      <t>タタイ</t>
    </rPh>
    <rPh sb="29" eb="31">
      <t>センタク</t>
    </rPh>
    <rPh sb="33" eb="34">
      <t>クダ</t>
    </rPh>
    <phoneticPr fontId="2"/>
  </si>
  <si>
    <t>×</t>
    <phoneticPr fontId="2"/>
  </si>
  <si>
    <t xml:space="preserve"> 専従者控除額、特別控除額</t>
    <rPh sb="1" eb="4">
      <t>センジュウシャ</t>
    </rPh>
    <rPh sb="4" eb="6">
      <t>コウジョ</t>
    </rPh>
    <rPh sb="6" eb="7">
      <t>ガク</t>
    </rPh>
    <rPh sb="8" eb="10">
      <t>トクベツ</t>
    </rPh>
    <rPh sb="10" eb="12">
      <t>コウジョ</t>
    </rPh>
    <rPh sb="12" eb="13">
      <t>ガク</t>
    </rPh>
    <phoneticPr fontId="2"/>
  </si>
  <si>
    <t>⑪</t>
    <phoneticPr fontId="2"/>
  </si>
  <si>
    <t>黒字＝「プラス値」
赤字＝「マイナス値」</t>
    <rPh sb="0" eb="2">
      <t>クロジ</t>
    </rPh>
    <rPh sb="7" eb="8">
      <t>アタイ</t>
    </rPh>
    <rPh sb="10" eb="12">
      <t>アカジ</t>
    </rPh>
    <rPh sb="18" eb="19">
      <t>チ</t>
    </rPh>
    <phoneticPr fontId="2"/>
  </si>
  <si>
    <t>黒字＝「プラス値」
赤字＝「０」</t>
    <rPh sb="0" eb="2">
      <t>クロジ</t>
    </rPh>
    <rPh sb="7" eb="8">
      <t>アタイ</t>
    </rPh>
    <rPh sb="10" eb="12">
      <t>アカジ</t>
    </rPh>
    <phoneticPr fontId="2"/>
  </si>
  <si>
    <t>非該当</t>
    <rPh sb="0" eb="3">
      <t>ヒガイトウ</t>
    </rPh>
    <phoneticPr fontId="2"/>
  </si>
  <si>
    <t>事業所得
不動産所得</t>
    <rPh sb="0" eb="2">
      <t>ジギョウ</t>
    </rPh>
    <rPh sb="2" eb="4">
      <t>ショトク</t>
    </rPh>
    <rPh sb="5" eb="8">
      <t>フドウサン</t>
    </rPh>
    <rPh sb="8" eb="10">
      <t>ショトク</t>
    </rPh>
    <phoneticPr fontId="2"/>
  </si>
  <si>
    <t>専従者控除適用後</t>
    <rPh sb="0" eb="3">
      <t>センジュウシャ</t>
    </rPh>
    <rPh sb="3" eb="5">
      <t>コウジョ</t>
    </rPh>
    <rPh sb="5" eb="7">
      <t>テキヨウ</t>
    </rPh>
    <rPh sb="7" eb="8">
      <t>ゴ</t>
    </rPh>
    <phoneticPr fontId="2"/>
  </si>
  <si>
    <t>特別控除適用後</t>
    <rPh sb="0" eb="2">
      <t>トクベツ</t>
    </rPh>
    <rPh sb="2" eb="4">
      <t>コウジョ</t>
    </rPh>
    <rPh sb="4" eb="6">
      <t>テキヨウ</t>
    </rPh>
    <rPh sb="6" eb="7">
      <t>ゴ</t>
    </rPh>
    <phoneticPr fontId="2"/>
  </si>
  <si>
    <t>雑所得（業務）</t>
    <phoneticPr fontId="2"/>
  </si>
  <si>
    <t>特別控除（分離課税）</t>
    <phoneticPr fontId="2"/>
  </si>
  <si>
    <t>長期譲渡所得</t>
    <rPh sb="0" eb="2">
      <t>チョウキ</t>
    </rPh>
    <rPh sb="2" eb="4">
      <t>ジョウト</t>
    </rPh>
    <rPh sb="4" eb="6">
      <t>ショトク</t>
    </rPh>
    <phoneticPr fontId="2"/>
  </si>
  <si>
    <t>専従者控除額（総合課税）</t>
    <rPh sb="7" eb="9">
      <t>ソウゴウ</t>
    </rPh>
    <rPh sb="9" eb="11">
      <t>カゼイ</t>
    </rPh>
    <phoneticPr fontId="2"/>
  </si>
  <si>
    <t>総所得金額等
対象外</t>
    <rPh sb="0" eb="3">
      <t>ソウショトク</t>
    </rPh>
    <rPh sb="3" eb="5">
      <t>キンガク</t>
    </rPh>
    <rPh sb="5" eb="6">
      <t>トウ</t>
    </rPh>
    <rPh sb="7" eb="10">
      <t>タイショウガイ</t>
    </rPh>
    <phoneticPr fontId="2"/>
  </si>
  <si>
    <t>総所得金額等</t>
    <rPh sb="0" eb="3">
      <t>ソウショトク</t>
    </rPh>
    <rPh sb="3" eb="5">
      <t>キンガク</t>
    </rPh>
    <rPh sb="5" eb="6">
      <t>トウ</t>
    </rPh>
    <phoneticPr fontId="2"/>
  </si>
  <si>
    <t>退職所得 （国保は対象外）</t>
    <rPh sb="6" eb="8">
      <t>コクホ</t>
    </rPh>
    <rPh sb="9" eb="12">
      <t>タイショウガイ</t>
    </rPh>
    <phoneticPr fontId="2"/>
  </si>
  <si>
    <t>分離課税
（第三表）
区分内通算後
繰越控除後
特別控除前</t>
    <rPh sb="0" eb="4">
      <t>ブンリカゼイ</t>
    </rPh>
    <rPh sb="14" eb="16">
      <t>クブン</t>
    </rPh>
    <rPh sb="16" eb="17">
      <t>ナイ</t>
    </rPh>
    <rPh sb="17" eb="20">
      <t>ツウサンゴ</t>
    </rPh>
    <rPh sb="21" eb="23">
      <t>クリコシ</t>
    </rPh>
    <rPh sb="23" eb="26">
      <t>コウジョゴ</t>
    </rPh>
    <rPh sb="27" eb="29">
      <t>トクベツ</t>
    </rPh>
    <rPh sb="29" eb="32">
      <t>コウジョマエ</t>
    </rPh>
    <phoneticPr fontId="2"/>
  </si>
  <si>
    <t xml:space="preserve">総合課税
（第一表）
総所得金額
損益通算後
繰越控除後
</t>
    <rPh sb="0" eb="2">
      <t>ソウゴウ</t>
    </rPh>
    <rPh sb="2" eb="4">
      <t>カゼイ</t>
    </rPh>
    <rPh sb="7" eb="8">
      <t>ダイ</t>
    </rPh>
    <rPh sb="8" eb="10">
      <t>イチヒョウ</t>
    </rPh>
    <rPh sb="13" eb="16">
      <t>ソウショトク</t>
    </rPh>
    <rPh sb="16" eb="18">
      <t>キンガク</t>
    </rPh>
    <rPh sb="20" eb="22">
      <t>ソンエキ</t>
    </rPh>
    <rPh sb="22" eb="25">
      <t>ツウサンゴ</t>
    </rPh>
    <rPh sb="26" eb="28">
      <t>クリコシ</t>
    </rPh>
    <rPh sb="28" eb="30">
      <t>コウジョ</t>
    </rPh>
    <rPh sb="30" eb="31">
      <t>ゴ</t>
    </rPh>
    <phoneticPr fontId="2"/>
  </si>
  <si>
    <t>控除前の「総所得金額等」に戻すため
「専従者控除額」を「プラス値」で入力</t>
    <rPh sb="0" eb="3">
      <t>コウジョマエ</t>
    </rPh>
    <rPh sb="5" eb="8">
      <t>ソウジョトク</t>
    </rPh>
    <rPh sb="8" eb="11">
      <t>キンガクトウ</t>
    </rPh>
    <rPh sb="13" eb="14">
      <t>モド</t>
    </rPh>
    <rPh sb="19" eb="22">
      <t>センジュウシャ</t>
    </rPh>
    <rPh sb="22" eb="25">
      <t>コウジョガク</t>
    </rPh>
    <phoneticPr fontId="2"/>
  </si>
  <si>
    <t>控除前の「総所得金額等」に戻すため
「特別控除額」を「プラス値」で入力</t>
    <rPh sb="0" eb="3">
      <t>コウジョマエ</t>
    </rPh>
    <rPh sb="5" eb="8">
      <t>ソウショトク</t>
    </rPh>
    <rPh sb="8" eb="10">
      <t>キンガク</t>
    </rPh>
    <rPh sb="10" eb="11">
      <t>トウ</t>
    </rPh>
    <rPh sb="13" eb="14">
      <t>モド</t>
    </rPh>
    <rPh sb="19" eb="21">
      <t>トクベツ</t>
    </rPh>
    <rPh sb="21" eb="24">
      <t>コウジョガク</t>
    </rPh>
    <phoneticPr fontId="2"/>
  </si>
  <si>
    <t>黒字＝「プラス値」
赤字＝「マイナス値」
一時所得の赤字=「０」</t>
    <rPh sb="0" eb="2">
      <t>クロジ</t>
    </rPh>
    <rPh sb="7" eb="8">
      <t>アタイ</t>
    </rPh>
    <rPh sb="10" eb="12">
      <t>アカジ</t>
    </rPh>
    <rPh sb="18" eb="19">
      <t>チ</t>
    </rPh>
    <rPh sb="21" eb="23">
      <t>イチジ</t>
    </rPh>
    <rPh sb="23" eb="25">
      <t>ショトク</t>
    </rPh>
    <rPh sb="26" eb="28">
      <t>アカジ</t>
    </rPh>
    <phoneticPr fontId="2"/>
  </si>
  <si>
    <t xml:space="preserve">・ 後期高齢者医療制度へ移った方 ( 特定同一世帯所属者 ) がいる  </t>
    <phoneticPr fontId="2"/>
  </si>
  <si>
    <r>
      <t xml:space="preserve">■ </t>
    </r>
    <r>
      <rPr>
        <b/>
        <sz val="12"/>
        <rFont val="BIZ UDPゴシック"/>
        <family val="3"/>
        <charset val="128"/>
      </rPr>
      <t xml:space="preserve"> ４　収入金額 （ 支払金額 ） または 所得金額</t>
    </r>
    <rPh sb="5" eb="7">
      <t>シュウニュウ</t>
    </rPh>
    <rPh sb="7" eb="9">
      <t>キンガク</t>
    </rPh>
    <rPh sb="12" eb="14">
      <t>シハラ</t>
    </rPh>
    <phoneticPr fontId="2"/>
  </si>
  <si>
    <t>　　　　　　（　昭和 ＝ 「 ３ 」、 平成 ＝ 「 ４ 」、 令和 ＝ 「 ５ 」  で入力してください　）</t>
    <rPh sb="45" eb="47">
      <t>ニュウリョク</t>
    </rPh>
    <phoneticPr fontId="2"/>
  </si>
  <si>
    <t>　国保から後期高齢者医療制度へ移行する人がいる世帯 （旧国保世帯） 　　</t>
    <rPh sb="26" eb="27">
      <t>キュウ</t>
    </rPh>
    <rPh sb="27" eb="29">
      <t>コクホ</t>
    </rPh>
    <rPh sb="29" eb="31">
      <t>セタイ</t>
    </rPh>
    <phoneticPr fontId="2"/>
  </si>
  <si>
    <t>国保所得割
「③　その他所得」欄</t>
    <rPh sb="0" eb="2">
      <t>コクホ</t>
    </rPh>
    <rPh sb="2" eb="5">
      <t>ショトクワリ</t>
    </rPh>
    <rPh sb="11" eb="12">
      <t>タ</t>
    </rPh>
    <rPh sb="12" eb="14">
      <t>ショトク</t>
    </rPh>
    <phoneticPr fontId="2"/>
  </si>
  <si>
    <t>国保軽減判定に係る調整
「専従者控除額、特別控除額」欄</t>
    <rPh sb="0" eb="2">
      <t>コクホ</t>
    </rPh>
    <rPh sb="2" eb="6">
      <t>ケイゲンハンテイ</t>
    </rPh>
    <rPh sb="7" eb="8">
      <t>カカ</t>
    </rPh>
    <rPh sb="9" eb="11">
      <t>チョウセイ</t>
    </rPh>
    <rPh sb="15" eb="17">
      <t>トクベツ</t>
    </rPh>
    <rPh sb="21" eb="22">
      <t>ラン</t>
    </rPh>
    <phoneticPr fontId="2"/>
  </si>
  <si>
    <t>専従者控除額・特別控除額 含まない</t>
    <rPh sb="0" eb="3">
      <t>センジュウシャ</t>
    </rPh>
    <rPh sb="3" eb="5">
      <t>コウジョ</t>
    </rPh>
    <rPh sb="5" eb="6">
      <t>ガク</t>
    </rPh>
    <rPh sb="7" eb="9">
      <t>トクベツ</t>
    </rPh>
    <rPh sb="9" eb="11">
      <t>コウジョ</t>
    </rPh>
    <rPh sb="11" eb="12">
      <t>ガク</t>
    </rPh>
    <rPh sb="13" eb="14">
      <t>フク</t>
    </rPh>
    <phoneticPr fontId="2"/>
  </si>
  <si>
    <t>専従者控除額・特別控除額 含む</t>
    <rPh sb="0" eb="3">
      <t>センジュウシャ</t>
    </rPh>
    <rPh sb="3" eb="5">
      <t>コウジョ</t>
    </rPh>
    <rPh sb="5" eb="6">
      <t>ガク</t>
    </rPh>
    <rPh sb="7" eb="9">
      <t>トクベツ</t>
    </rPh>
    <rPh sb="9" eb="11">
      <t>コウジョ</t>
    </rPh>
    <rPh sb="11" eb="12">
      <t>ガク</t>
    </rPh>
    <rPh sb="13" eb="14">
      <t>フク</t>
    </rPh>
    <phoneticPr fontId="2"/>
  </si>
  <si>
    <t>一般株式等の譲渡所得</t>
    <phoneticPr fontId="2"/>
  </si>
  <si>
    <t>長期譲渡所得（一般分）</t>
    <phoneticPr fontId="2"/>
  </si>
  <si>
    <t>上場株式等の配当等</t>
    <rPh sb="6" eb="8">
      <t>ハイトウ</t>
    </rPh>
    <rPh sb="8" eb="9">
      <t>トウ</t>
    </rPh>
    <phoneticPr fontId="2"/>
  </si>
  <si>
    <t>黒字＝「プラス値」
赤字＝「０」　</t>
    <rPh sb="0" eb="2">
      <t>クロジ</t>
    </rPh>
    <rPh sb="7" eb="8">
      <t>アタイ</t>
    </rPh>
    <rPh sb="10" eb="12">
      <t>アカジ</t>
    </rPh>
    <phoneticPr fontId="2"/>
  </si>
  <si>
    <r>
      <t xml:space="preserve">損益通算　
</t>
    </r>
    <r>
      <rPr>
        <sz val="10"/>
        <rFont val="BIZ UDPゴシック"/>
        <family val="3"/>
        <charset val="128"/>
      </rPr>
      <t>(条件あり）</t>
    </r>
    <rPh sb="0" eb="2">
      <t>ソンエキ</t>
    </rPh>
    <rPh sb="2" eb="4">
      <t>ツウサン</t>
    </rPh>
    <rPh sb="7" eb="9">
      <t>ジョウケン</t>
    </rPh>
    <phoneticPr fontId="2"/>
  </si>
  <si>
    <t>青色専従者控除額　（労務の対価内で上限なし）、白色専従者控除額　（上限　配偶者８６万円、その他５０万円）</t>
    <rPh sb="10" eb="12">
      <t>ロウム</t>
    </rPh>
    <rPh sb="13" eb="15">
      <t>タイカ</t>
    </rPh>
    <rPh sb="15" eb="16">
      <t>ナイ</t>
    </rPh>
    <rPh sb="17" eb="19">
      <t>ジョウゲン</t>
    </rPh>
    <rPh sb="33" eb="35">
      <t>ジョウゲン</t>
    </rPh>
    <rPh sb="36" eb="39">
      <t>ハイグウシャ</t>
    </rPh>
    <rPh sb="42" eb="43">
      <t>エン</t>
    </rPh>
    <rPh sb="46" eb="47">
      <t>タ</t>
    </rPh>
    <rPh sb="49" eb="51">
      <t>マンエン</t>
    </rPh>
    <phoneticPr fontId="2"/>
  </si>
  <si>
    <t>分離・総合</t>
    <rPh sb="0" eb="2">
      <t>ブンリ</t>
    </rPh>
    <rPh sb="3" eb="5">
      <t>ソウゴウ</t>
    </rPh>
    <phoneticPr fontId="2"/>
  </si>
  <si>
    <t>給与、賞与、賃金（パート、アルバイト）、役員報酬</t>
    <rPh sb="3" eb="5">
      <t>ショウヨ</t>
    </rPh>
    <rPh sb="6" eb="8">
      <t>チンギン</t>
    </rPh>
    <phoneticPr fontId="2"/>
  </si>
  <si>
    <t>国民年金、厚生年金、共済年金、企業年金、企業型確定拠出年金（年金形式）、iDeCo（年金形式）、退職金（年金形式）</t>
    <rPh sb="0" eb="4">
      <t>コクミンネンキン</t>
    </rPh>
    <rPh sb="5" eb="9">
      <t>コウセイネンキン</t>
    </rPh>
    <rPh sb="30" eb="32">
      <t>ネンキン</t>
    </rPh>
    <rPh sb="32" eb="34">
      <t>ケイシキ</t>
    </rPh>
    <rPh sb="48" eb="51">
      <t>タイショクキン</t>
    </rPh>
    <rPh sb="52" eb="54">
      <t>ネンキン</t>
    </rPh>
    <rPh sb="54" eb="56">
      <t>ケイシキ</t>
    </rPh>
    <phoneticPr fontId="2"/>
  </si>
  <si>
    <t xml:space="preserve">譲渡所得　：　（土地・建物・株式以外）　　貴金属・骨董品・趣味収集品の売却　（生活必需品は非課税）
一時所得　：　（臨時・偶発的）　満期保険金、懸賞金、競馬払戻金　　総所得金額算入は１/２
一時所得の赤字　:  受取額よりも支払保険料が多い、 競馬・競輪で払戻金はあったが負けた </t>
    <rPh sb="0" eb="2">
      <t>ジョウト</t>
    </rPh>
    <rPh sb="2" eb="4">
      <t>ショトク</t>
    </rPh>
    <rPh sb="8" eb="10">
      <t>トチ</t>
    </rPh>
    <rPh sb="11" eb="13">
      <t>タテモノ</t>
    </rPh>
    <rPh sb="14" eb="16">
      <t>カブシキ</t>
    </rPh>
    <rPh sb="16" eb="18">
      <t>イガイ</t>
    </rPh>
    <rPh sb="35" eb="37">
      <t>バイキャク</t>
    </rPh>
    <rPh sb="39" eb="44">
      <t>セイカツヒツジュヒン</t>
    </rPh>
    <rPh sb="45" eb="48">
      <t>ヒカゼイ</t>
    </rPh>
    <rPh sb="50" eb="52">
      <t>イチジ</t>
    </rPh>
    <rPh sb="52" eb="54">
      <t>ショトク</t>
    </rPh>
    <rPh sb="58" eb="60">
      <t>リンジ</t>
    </rPh>
    <rPh sb="84" eb="85">
      <t>ガク</t>
    </rPh>
    <rPh sb="85" eb="87">
      <t>サンニュウ</t>
    </rPh>
    <phoneticPr fontId="2"/>
  </si>
  <si>
    <t>申告分離　上場株売却、ETF（上場投資信託）、REIT（不動産投資信託）、一般口座、特定口座（源泉なし、源泉あり）
特定口座（源泉あり）は、確定申告をしない場合は国保算定の対象外。NISAは非課税のため対象外</t>
    <phoneticPr fontId="2"/>
  </si>
  <si>
    <t>利子所得</t>
    <phoneticPr fontId="2"/>
  </si>
  <si>
    <t>長期譲渡所得（軽減分）</t>
    <phoneticPr fontId="2"/>
  </si>
  <si>
    <t>非上場株式等　：　非上場株式の売却、持株会株式の売却、未公開株の譲渡</t>
    <rPh sb="0" eb="3">
      <t>ヒジョウジョウ</t>
    </rPh>
    <rPh sb="3" eb="5">
      <t>カブシキ</t>
    </rPh>
    <rPh sb="5" eb="6">
      <t>トウ</t>
    </rPh>
    <phoneticPr fontId="2"/>
  </si>
  <si>
    <t>同じ区分（73）内と（７４）と
通算可</t>
    <rPh sb="8" eb="9">
      <t>ナイ</t>
    </rPh>
    <phoneticPr fontId="2"/>
  </si>
  <si>
    <t>区分（73）と通算可</t>
    <rPh sb="0" eb="2">
      <t>クブン</t>
    </rPh>
    <rPh sb="7" eb="9">
      <t>ツウサン</t>
    </rPh>
    <rPh sb="9" eb="10">
      <t>カ</t>
    </rPh>
    <phoneticPr fontId="2"/>
  </si>
  <si>
    <t>FX（外国為替証拠金取引）、CFD（差金決済取引）、商品先物、暗号資産先物</t>
    <phoneticPr fontId="2"/>
  </si>
  <si>
    <t>一般公社債（同族会社の社債、私募債等）の利子、国外預金の利子　（外国で課税済は外国税額控除対象）
（普通預貯金・定期預金の利子は源泉分離課税(源泉徴収済）のため確定申告不要）</t>
    <rPh sb="0" eb="2">
      <t>イッパン</t>
    </rPh>
    <rPh sb="2" eb="4">
      <t>コウシャ</t>
    </rPh>
    <rPh sb="4" eb="5">
      <t>サイ</t>
    </rPh>
    <rPh sb="6" eb="8">
      <t>ドウゾク</t>
    </rPh>
    <rPh sb="8" eb="10">
      <t>カイシャ</t>
    </rPh>
    <rPh sb="11" eb="13">
      <t>シャサイ</t>
    </rPh>
    <rPh sb="14" eb="17">
      <t>シボサイ</t>
    </rPh>
    <rPh sb="17" eb="18">
      <t>トウ</t>
    </rPh>
    <rPh sb="20" eb="22">
      <t>リシ</t>
    </rPh>
    <rPh sb="23" eb="25">
      <t>コクガイ</t>
    </rPh>
    <rPh sb="25" eb="27">
      <t>ヨキン</t>
    </rPh>
    <rPh sb="28" eb="30">
      <t>リシ</t>
    </rPh>
    <rPh sb="32" eb="34">
      <t>ガイコク</t>
    </rPh>
    <rPh sb="35" eb="37">
      <t>カゼイ</t>
    </rPh>
    <rPh sb="37" eb="38">
      <t>スミ</t>
    </rPh>
    <rPh sb="39" eb="41">
      <t>ガイコク</t>
    </rPh>
    <rPh sb="41" eb="43">
      <t>ゼイガク</t>
    </rPh>
    <rPh sb="43" eb="45">
      <t>コウジョ</t>
    </rPh>
    <rPh sb="45" eb="47">
      <t>タイショウ</t>
    </rPh>
    <rPh sb="50" eb="55">
      <t>フツウヨチョキン</t>
    </rPh>
    <rPh sb="56" eb="58">
      <t>テイキ</t>
    </rPh>
    <rPh sb="58" eb="60">
      <t>ヨキン</t>
    </rPh>
    <rPh sb="61" eb="63">
      <t>リシ</t>
    </rPh>
    <rPh sb="64" eb="66">
      <t>ゲンセン</t>
    </rPh>
    <rPh sb="66" eb="68">
      <t>ブンリ</t>
    </rPh>
    <rPh sb="68" eb="70">
      <t>カゼイ</t>
    </rPh>
    <rPh sb="71" eb="75">
      <t>ゲンセンチョウシュウ</t>
    </rPh>
    <rPh sb="75" eb="76">
      <t>スミ</t>
    </rPh>
    <rPh sb="80" eb="84">
      <t>カクテイシンコク</t>
    </rPh>
    <rPh sb="84" eb="86">
      <t>フヨウ</t>
    </rPh>
    <phoneticPr fontId="2"/>
  </si>
  <si>
    <t>短期譲渡所得（一般分）</t>
    <phoneticPr fontId="2"/>
  </si>
  <si>
    <t>１４．２１％
２０．３１５％</t>
    <phoneticPr fontId="2"/>
  </si>
  <si>
    <t>累進税率</t>
    <rPh sb="0" eb="2">
      <t>ルイシン</t>
    </rPh>
    <rPh sb="2" eb="4">
      <t>ゼイリツ</t>
    </rPh>
    <phoneticPr fontId="2"/>
  </si>
  <si>
    <t>所得税率
（住民税含む）</t>
    <rPh sb="0" eb="2">
      <t>ショトク</t>
    </rPh>
    <rPh sb="2" eb="4">
      <t>ゼイリツ</t>
    </rPh>
    <rPh sb="6" eb="9">
      <t>ジュウミンゼイ</t>
    </rPh>
    <rPh sb="9" eb="10">
      <t>フク</t>
    </rPh>
    <phoneticPr fontId="2"/>
  </si>
  <si>
    <t>長期譲渡所得（特定分）</t>
    <phoneticPr fontId="2"/>
  </si>
  <si>
    <t>公共性の高い相手に売却した場合　　国、地方公共団体、都市再生機構、優良住宅地造成事業者等　　２０００万以下は税率軽減</t>
    <rPh sb="17" eb="18">
      <t>クニ</t>
    </rPh>
    <rPh sb="19" eb="21">
      <t>チホウ</t>
    </rPh>
    <rPh sb="21" eb="25">
      <t>コウキョウダンタイ</t>
    </rPh>
    <rPh sb="26" eb="28">
      <t>トシ</t>
    </rPh>
    <rPh sb="28" eb="30">
      <t>サイセイ</t>
    </rPh>
    <rPh sb="30" eb="32">
      <t>キコウ</t>
    </rPh>
    <rPh sb="33" eb="35">
      <t>ユウリョウ</t>
    </rPh>
    <rPh sb="35" eb="38">
      <t>ジュウタクチ</t>
    </rPh>
    <rPh sb="38" eb="40">
      <t>ゾウセイ</t>
    </rPh>
    <rPh sb="40" eb="43">
      <t>ジギョウシャ</t>
    </rPh>
    <rPh sb="43" eb="44">
      <t>トウ</t>
    </rPh>
    <rPh sb="51" eb="53">
      <t>イカ</t>
    </rPh>
    <rPh sb="54" eb="58">
      <t>ゼイリツケイゲン</t>
    </rPh>
    <phoneticPr fontId="2"/>
  </si>
  <si>
    <t>区画整理事業や道路河川改修等公共事業による買取　　　　　　　　　　　　　　　　　　　　　　　　　　　　課税対象額を軽減</t>
    <rPh sb="51" eb="56">
      <t>カゼイタイショウガク</t>
    </rPh>
    <rPh sb="57" eb="59">
      <t>ケイゲン</t>
    </rPh>
    <phoneticPr fontId="2"/>
  </si>
  <si>
    <t>退職金（一時金）、退職金分割受取、早期退職優遇金、iDeCo受取（一時金）</t>
    <phoneticPr fontId="2"/>
  </si>
  <si>
    <t>R8.３月現在</t>
    <rPh sb="4" eb="5">
      <t>ツキ</t>
    </rPh>
    <rPh sb="5" eb="7">
      <t>ゲンザイ</t>
    </rPh>
    <phoneticPr fontId="2"/>
  </si>
  <si>
    <t xml:space="preserve">・ 繰越控除や特別控除がある  </t>
    <rPh sb="2" eb="4">
      <t>クリコシ</t>
    </rPh>
    <rPh sb="4" eb="6">
      <t>コウジョ</t>
    </rPh>
    <rPh sb="7" eb="9">
      <t>トクベツ</t>
    </rPh>
    <rPh sb="9" eb="11">
      <t>コウジョ</t>
    </rPh>
    <phoneticPr fontId="2"/>
  </si>
  <si>
    <t>・ 専従者給与、専従者控除、特別控除がある場合は所定の欄に入力しているか</t>
    <rPh sb="2" eb="5">
      <t>センジュウシャ</t>
    </rPh>
    <rPh sb="5" eb="7">
      <t>キュウヨ</t>
    </rPh>
    <rPh sb="8" eb="11">
      <t>センジュウシャ</t>
    </rPh>
    <rPh sb="11" eb="13">
      <t>コウジョ</t>
    </rPh>
    <rPh sb="14" eb="16">
      <t>トクベツ</t>
    </rPh>
    <rPh sb="16" eb="18">
      <t>コウジョ</t>
    </rPh>
    <rPh sb="21" eb="23">
      <t>バアイ</t>
    </rPh>
    <rPh sb="24" eb="26">
      <t>ショテイ</t>
    </rPh>
    <rPh sb="27" eb="28">
      <t>ラン</t>
    </rPh>
    <rPh sb="29" eb="31">
      <t>ニュウリョク</t>
    </rPh>
    <phoneticPr fontId="2"/>
  </si>
  <si>
    <t>卸売業、小売業、飲食店業、製造業、サービス業、医師、弁護士、大工、漁業</t>
    <rPh sb="0" eb="3">
      <t>オロシウリギョウ</t>
    </rPh>
    <rPh sb="4" eb="7">
      <t>コウリギョウ</t>
    </rPh>
    <rPh sb="8" eb="11">
      <t>インショクテン</t>
    </rPh>
    <rPh sb="11" eb="12">
      <t>ギョウ</t>
    </rPh>
    <rPh sb="13" eb="16">
      <t>セイゾウギョウ</t>
    </rPh>
    <rPh sb="21" eb="22">
      <t>ギョウ</t>
    </rPh>
    <rPh sb="23" eb="25">
      <t>イシ</t>
    </rPh>
    <rPh sb="26" eb="29">
      <t>ベンゴシ</t>
    </rPh>
    <rPh sb="30" eb="32">
      <t>ダイク</t>
    </rPh>
    <rPh sb="33" eb="35">
      <t>ギョギョウ</t>
    </rPh>
    <phoneticPr fontId="2"/>
  </si>
  <si>
    <t>米、野菜販売、農産加工品販売、直売所出荷</t>
    <phoneticPr fontId="2"/>
  </si>
  <si>
    <t>申告分離課税 : 損益通算や損失の繰越控除ができる。 源泉徴収により課税が完結する「申告不要制度」を選択可。
特定公社債（国債、地方債、公募社債）の利子は総合課税を選択不可。 上場株式配当は総合課税（配当控除）を選択可。</t>
    <rPh sb="55" eb="57">
      <t>トクテイ</t>
    </rPh>
    <rPh sb="57" eb="59">
      <t>コウシャ</t>
    </rPh>
    <rPh sb="59" eb="60">
      <t>サイ</t>
    </rPh>
    <rPh sb="77" eb="79">
      <t>ソウゴウ</t>
    </rPh>
    <rPh sb="79" eb="81">
      <t>カゼイ</t>
    </rPh>
    <rPh sb="82" eb="84">
      <t>センタク</t>
    </rPh>
    <rPh sb="84" eb="86">
      <t>フカ</t>
    </rPh>
    <rPh sb="95" eb="97">
      <t>ソウゴウ</t>
    </rPh>
    <rPh sb="97" eb="99">
      <t>カゼイ</t>
    </rPh>
    <rPh sb="100" eb="102">
      <t>ハイトウ</t>
    </rPh>
    <rPh sb="102" eb="104">
      <t>コウジョ</t>
    </rPh>
    <rPh sb="106" eb="109">
      <t>センタクカ</t>
    </rPh>
    <phoneticPr fontId="2"/>
  </si>
  <si>
    <r>
      <t>継続性はあるが事業といえるほどの規模ではない、  その他 （上記以外）
副業ブログ、メルカリの小規模販売、ポイント収入、</t>
    </r>
    <r>
      <rPr>
        <b/>
        <sz val="12"/>
        <rFont val="BIZ UDPゴシック"/>
        <family val="3"/>
        <charset val="128"/>
      </rPr>
      <t>個人年金 （ 生命保険 ）</t>
    </r>
    <r>
      <rPr>
        <sz val="12"/>
        <rFont val="BIZ UDPゴシック"/>
        <family val="3"/>
        <charset val="128"/>
      </rPr>
      <t>、事業でない暗号資産の売却益</t>
    </r>
    <rPh sb="0" eb="2">
      <t>ケイゾク</t>
    </rPh>
    <rPh sb="2" eb="3">
      <t>セイ</t>
    </rPh>
    <rPh sb="7" eb="9">
      <t>ジギョウ</t>
    </rPh>
    <rPh sb="16" eb="18">
      <t>キボ</t>
    </rPh>
    <rPh sb="27" eb="28">
      <t>タ</t>
    </rPh>
    <rPh sb="30" eb="32">
      <t>ジョウキ</t>
    </rPh>
    <rPh sb="32" eb="34">
      <t>イガイ</t>
    </rPh>
    <rPh sb="36" eb="38">
      <t>フクギョウ</t>
    </rPh>
    <rPh sb="47" eb="50">
      <t>ショウキボ</t>
    </rPh>
    <rPh sb="50" eb="52">
      <t>ハンバイ</t>
    </rPh>
    <rPh sb="57" eb="59">
      <t>シュウニュウ</t>
    </rPh>
    <phoneticPr fontId="2"/>
  </si>
  <si>
    <t>土地・建物等の貸付けから生じた賃貸料や権利金
アパート家賃、駐車場貸し、貸地、貸し倉庫</t>
    <rPh sb="0" eb="2">
      <t>トチ</t>
    </rPh>
    <rPh sb="3" eb="5">
      <t>タテモノ</t>
    </rPh>
    <rPh sb="5" eb="6">
      <t>トウ</t>
    </rPh>
    <rPh sb="7" eb="8">
      <t>カ</t>
    </rPh>
    <rPh sb="8" eb="9">
      <t>ツ</t>
    </rPh>
    <rPh sb="12" eb="13">
      <t>ショウ</t>
    </rPh>
    <rPh sb="15" eb="18">
      <t>チンタイリョウ</t>
    </rPh>
    <rPh sb="19" eb="22">
      <t>ケンリキン</t>
    </rPh>
    <rPh sb="39" eb="40">
      <t>カ</t>
    </rPh>
    <rPh sb="41" eb="43">
      <t>ソウコ</t>
    </rPh>
    <phoneticPr fontId="2"/>
  </si>
  <si>
    <t>単発・副業・趣味レベル（継続性なし）　　講演料、原稿料、セミナー講師料　（単発）</t>
    <rPh sb="0" eb="2">
      <t>タンパツ</t>
    </rPh>
    <rPh sb="3" eb="5">
      <t>フクギョウ</t>
    </rPh>
    <rPh sb="6" eb="8">
      <t>シュミ</t>
    </rPh>
    <rPh sb="12" eb="14">
      <t>ケイゾク</t>
    </rPh>
    <rPh sb="14" eb="15">
      <t>セイ</t>
    </rPh>
    <rPh sb="37" eb="38">
      <t>タン</t>
    </rPh>
    <rPh sb="38" eb="39">
      <t>パツ</t>
    </rPh>
    <phoneticPr fontId="2"/>
  </si>
  <si>
    <t xml:space="preserve"> </t>
    <phoneticPr fontId="2"/>
  </si>
  <si>
    <t>株式や出資の配当などの所得　　非上場株配当、持株会配当、総合選択した上場株配当や投資信託の普通分配金
総合選択は配当控除適用　  （申告分離は株譲渡所得と通算可、源泉分離は申告不要）</t>
    <rPh sb="0" eb="2">
      <t>カブシキ</t>
    </rPh>
    <rPh sb="3" eb="5">
      <t>シュッシ</t>
    </rPh>
    <rPh sb="6" eb="8">
      <t>ハイトウ</t>
    </rPh>
    <rPh sb="11" eb="13">
      <t>ショトク</t>
    </rPh>
    <rPh sb="28" eb="30">
      <t>ソウゴウ</t>
    </rPh>
    <rPh sb="30" eb="32">
      <t>センタク</t>
    </rPh>
    <rPh sb="34" eb="36">
      <t>ジョウジョウ</t>
    </rPh>
    <rPh sb="60" eb="62">
      <t>テキヨウ</t>
    </rPh>
    <phoneticPr fontId="2"/>
  </si>
  <si>
    <t>・ 旧被扶養者の軽減や旧国保世帯の軽減を受けている世帯</t>
    <rPh sb="2" eb="3">
      <t>キュウ</t>
    </rPh>
    <rPh sb="3" eb="7">
      <t>ヒフヨウシャ</t>
    </rPh>
    <rPh sb="8" eb="10">
      <t>ケイゲン</t>
    </rPh>
    <rPh sb="11" eb="12">
      <t>キュウ</t>
    </rPh>
    <rPh sb="12" eb="14">
      <t>コクホ</t>
    </rPh>
    <rPh sb="14" eb="16">
      <t>セタイ</t>
    </rPh>
    <rPh sb="17" eb="19">
      <t>ケイゲン</t>
    </rPh>
    <rPh sb="20" eb="21">
      <t>ウ</t>
    </rPh>
    <rPh sb="25" eb="27">
      <t>セタイ</t>
    </rPh>
    <phoneticPr fontId="2"/>
  </si>
  <si>
    <t>・ 赤字の金額をマイナス入力するときに 「 － 」 を半角で入力しているか   ( 全角は文字列となり計算できません )</t>
    <rPh sb="2" eb="4">
      <t>アカジ</t>
    </rPh>
    <rPh sb="5" eb="7">
      <t>キンガク</t>
    </rPh>
    <rPh sb="12" eb="14">
      <t>ニュウリョク</t>
    </rPh>
    <rPh sb="27" eb="29">
      <t>ハンカク</t>
    </rPh>
    <rPh sb="30" eb="32">
      <t>ニュウリョク</t>
    </rPh>
    <rPh sb="42" eb="44">
      <t>ゼンカク</t>
    </rPh>
    <rPh sb="45" eb="48">
      <t>モジレツ</t>
    </rPh>
    <rPh sb="51" eb="53">
      <t>ケイサン</t>
    </rPh>
    <phoneticPr fontId="2"/>
  </si>
  <si>
    <t>通算不可（赤字０扱い）
(総合課税は通算可)</t>
    <rPh sb="0" eb="2">
      <t>ツウサン</t>
    </rPh>
    <rPh sb="2" eb="4">
      <t>フカ</t>
    </rPh>
    <rPh sb="5" eb="7">
      <t>アカジ</t>
    </rPh>
    <rPh sb="8" eb="9">
      <t>アツカ</t>
    </rPh>
    <rPh sb="13" eb="15">
      <t>ソウゴウ</t>
    </rPh>
    <rPh sb="15" eb="17">
      <t>カゼイ</t>
    </rPh>
    <rPh sb="18" eb="20">
      <t>ツウサン</t>
    </rPh>
    <rPh sb="20" eb="21">
      <t>カ</t>
    </rPh>
    <phoneticPr fontId="2"/>
  </si>
  <si>
    <t>山林所得　(５年超）　
　（5年以内は総合課税）</t>
    <rPh sb="7" eb="8">
      <t>ネン</t>
    </rPh>
    <rPh sb="8" eb="9">
      <t>チョウ</t>
    </rPh>
    <rPh sb="15" eb="16">
      <t>ネン</t>
    </rPh>
    <rPh sb="16" eb="18">
      <t>イナイ</t>
    </rPh>
    <rPh sb="19" eb="21">
      <t>ソウゴウ</t>
    </rPh>
    <rPh sb="21" eb="23">
      <t>カゼイ</t>
    </rPh>
    <phoneticPr fontId="2"/>
  </si>
  <si>
    <t>合計額</t>
    <rPh sb="0" eb="3">
      <t>ゴウケイガク</t>
    </rPh>
    <phoneticPr fontId="2"/>
  </si>
  <si>
    <t>期間月数</t>
    <rPh sb="0" eb="2">
      <t>キカン</t>
    </rPh>
    <rPh sb="2" eb="4">
      <t>ツキスウ</t>
    </rPh>
    <phoneticPr fontId="2"/>
  </si>
  <si>
    <t xml:space="preserve">・ 生年月日の入力誤りがないか  </t>
    <rPh sb="2" eb="6">
      <t>セイネンガッピ</t>
    </rPh>
    <rPh sb="7" eb="9">
      <t>ニュウリョク</t>
    </rPh>
    <rPh sb="9" eb="10">
      <t>アヤマ</t>
    </rPh>
    <phoneticPr fontId="2"/>
  </si>
  <si>
    <t xml:space="preserve">             （ 計算シートの資格情報、収入額等で判定します ）</t>
    <rPh sb="15" eb="17">
      <t>ケイサン</t>
    </rPh>
    <rPh sb="21" eb="23">
      <t>シカク</t>
    </rPh>
    <rPh sb="23" eb="25">
      <t>ジョウホウ</t>
    </rPh>
    <rPh sb="26" eb="28">
      <t>シュウニュウ</t>
    </rPh>
    <rPh sb="28" eb="29">
      <t>ガク</t>
    </rPh>
    <rPh sb="29" eb="30">
      <t>トウ</t>
    </rPh>
    <rPh sb="31" eb="33">
      <t>ハンテイ</t>
    </rPh>
    <phoneticPr fontId="2"/>
  </si>
  <si>
    <t>医療分 個人別 年額（平均）</t>
    <rPh sb="4" eb="6">
      <t>コジン</t>
    </rPh>
    <rPh sb="6" eb="7">
      <t>ベツ</t>
    </rPh>
    <rPh sb="8" eb="10">
      <t>ネンガク</t>
    </rPh>
    <rPh sb="11" eb="13">
      <t>ヘイキン</t>
    </rPh>
    <phoneticPr fontId="2"/>
  </si>
  <si>
    <t xml:space="preserve">支援分  個人別 年額（平均） </t>
    <rPh sb="0" eb="2">
      <t>シエン</t>
    </rPh>
    <rPh sb="5" eb="7">
      <t>コジン</t>
    </rPh>
    <rPh sb="7" eb="8">
      <t>ベツ</t>
    </rPh>
    <rPh sb="9" eb="11">
      <t>ネンガク</t>
    </rPh>
    <rPh sb="12" eb="14">
      <t>ヘイキン</t>
    </rPh>
    <phoneticPr fontId="2"/>
  </si>
  <si>
    <t>介護分  個人別 年額（平均）</t>
    <rPh sb="0" eb="2">
      <t>カイゴ</t>
    </rPh>
    <rPh sb="2" eb="3">
      <t>フン</t>
    </rPh>
    <rPh sb="5" eb="7">
      <t>コジン</t>
    </rPh>
    <rPh sb="7" eb="8">
      <t>ベツ</t>
    </rPh>
    <rPh sb="9" eb="11">
      <t>ネンガク</t>
    </rPh>
    <rPh sb="12" eb="14">
      <t>ヘイキン</t>
    </rPh>
    <phoneticPr fontId="2"/>
  </si>
  <si>
    <t>子育て分  個人別 年額（平均）</t>
    <phoneticPr fontId="2"/>
  </si>
  <si>
    <t>旧国保世帯員 （75歳以上）</t>
    <phoneticPr fontId="2"/>
  </si>
  <si>
    <t>世帯主 人数</t>
    <rPh sb="0" eb="3">
      <t>セタイヌシ</t>
    </rPh>
    <rPh sb="4" eb="6">
      <t>ニンズウ</t>
    </rPh>
    <phoneticPr fontId="2"/>
  </si>
  <si>
    <t>取得後5年以内　　土地・建物の短期売却、投資用不動産の短期売却　　</t>
    <rPh sb="12" eb="14">
      <t>タテモノ</t>
    </rPh>
    <phoneticPr fontId="2"/>
  </si>
  <si>
    <t>間伐材販売、立木売却、山林譲渡、植林事業（土地・建物除く）</t>
    <phoneticPr fontId="2"/>
  </si>
  <si>
    <t>・ 該当しない項目に金額入力や 「 該当 」 の選択をしていないか   ( 空白のままにしてください )</t>
    <rPh sb="2" eb="4">
      <t>ガイトウ</t>
    </rPh>
    <rPh sb="7" eb="9">
      <t>コウモク</t>
    </rPh>
    <rPh sb="10" eb="12">
      <t>キンガク</t>
    </rPh>
    <rPh sb="12" eb="14">
      <t>ニュウリョク</t>
    </rPh>
    <rPh sb="18" eb="20">
      <t>ガイトウ</t>
    </rPh>
    <rPh sb="24" eb="26">
      <t>センタク</t>
    </rPh>
    <rPh sb="38" eb="40">
      <t>クウハク</t>
    </rPh>
    <phoneticPr fontId="2"/>
  </si>
  <si>
    <t>・ 世帯主を入力しているか  ( 未入力の場合、正しく軽減判定ができません )</t>
    <rPh sb="6" eb="8">
      <t>ニュウリョク</t>
    </rPh>
    <rPh sb="17" eb="18">
      <t>ミ</t>
    </rPh>
    <rPh sb="18" eb="20">
      <t>ニュウリョク</t>
    </rPh>
    <rPh sb="21" eb="23">
      <t>バアイ</t>
    </rPh>
    <rPh sb="24" eb="25">
      <t>タダ</t>
    </rPh>
    <rPh sb="27" eb="29">
      <t>ケイゲン</t>
    </rPh>
    <phoneticPr fontId="2"/>
  </si>
  <si>
    <t xml:space="preserve">・ 収入金額は源泉徴収票や確定申告書等の転記すべき金額と同じか  </t>
    <rPh sb="2" eb="4">
      <t>シュウニュウ</t>
    </rPh>
    <rPh sb="4" eb="6">
      <t>キンガク</t>
    </rPh>
    <rPh sb="7" eb="9">
      <t>ゲンセン</t>
    </rPh>
    <rPh sb="9" eb="11">
      <t>チョウシュウ</t>
    </rPh>
    <rPh sb="11" eb="12">
      <t>ヒョウ</t>
    </rPh>
    <rPh sb="13" eb="15">
      <t>カクテイ</t>
    </rPh>
    <rPh sb="15" eb="18">
      <t>シンコクショ</t>
    </rPh>
    <rPh sb="18" eb="19">
      <t>トウ</t>
    </rPh>
    <rPh sb="20" eb="22">
      <t>テンキ</t>
    </rPh>
    <rPh sb="25" eb="27">
      <t>キンガク</t>
    </rPh>
    <rPh sb="28" eb="29">
      <t>オナ</t>
    </rPh>
    <phoneticPr fontId="2"/>
  </si>
  <si>
    <t>・ 収入金額は前年の収入になっているか  ( 令和7年度保険税は令和6年収入で計算します )</t>
    <rPh sb="2" eb="4">
      <t>シュウニュウ</t>
    </rPh>
    <rPh sb="4" eb="6">
      <t>キンガク</t>
    </rPh>
    <rPh sb="7" eb="9">
      <t>ゼンネン</t>
    </rPh>
    <rPh sb="10" eb="12">
      <t>シュウニュウ</t>
    </rPh>
    <rPh sb="23" eb="25">
      <t>レイワ</t>
    </rPh>
    <rPh sb="26" eb="28">
      <t>ネンド</t>
    </rPh>
    <rPh sb="28" eb="31">
      <t>ホケンゼイ</t>
    </rPh>
    <rPh sb="32" eb="34">
      <t>レイワ</t>
    </rPh>
    <rPh sb="35" eb="36">
      <t>ネン</t>
    </rPh>
    <rPh sb="36" eb="38">
      <t>シュウニュウ</t>
    </rPh>
    <rPh sb="39" eb="41">
      <t>ケイサン</t>
    </rPh>
    <phoneticPr fontId="2"/>
  </si>
  <si>
    <t>・ 給与収入850万円以上の方がいる</t>
    <rPh sb="2" eb="4">
      <t>キュウヨ</t>
    </rPh>
    <rPh sb="4" eb="6">
      <t>シュウニュウ</t>
    </rPh>
    <rPh sb="9" eb="11">
      <t>マンエン</t>
    </rPh>
    <rPh sb="11" eb="13">
      <t>イジョウ</t>
    </rPh>
    <rPh sb="14" eb="15">
      <t>カタ</t>
    </rPh>
    <phoneticPr fontId="2"/>
  </si>
  <si>
    <t>居住用財産売却時の３０００万円特別控除、収用等による 5,000万円特別控除</t>
    <rPh sb="5" eb="8">
      <t>バイキャクジ</t>
    </rPh>
    <rPh sb="13" eb="15">
      <t>マンエン</t>
    </rPh>
    <rPh sb="15" eb="17">
      <t>トクベツ</t>
    </rPh>
    <rPh sb="36" eb="38">
      <t>コウジョ</t>
    </rPh>
    <phoneticPr fontId="2"/>
  </si>
  <si>
    <t>所有期間10年超の居住用財産　　　　　　　　　　　　　　　　　　　　　　　　　　　　　　　　　　　　　　　 　　　 　　６０００万以下は税率軽減</t>
    <rPh sb="65" eb="67">
      <t>イカ</t>
    </rPh>
    <phoneticPr fontId="2"/>
  </si>
  <si>
    <t>取得後５年超　　　土地・建物の長期売却、3000万円控除後の金額　　 　
　　　　　　　　　　　　（例外） 居住用財産の譲渡損失の特例 （税額控除・繰越控除） は国保では対象外　</t>
    <rPh sb="0" eb="2">
      <t>シュトク</t>
    </rPh>
    <rPh sb="2" eb="3">
      <t>ゴ</t>
    </rPh>
    <rPh sb="4" eb="6">
      <t>ネンチョウ</t>
    </rPh>
    <rPh sb="12" eb="14">
      <t>タテモノ</t>
    </rPh>
    <rPh sb="50" eb="52">
      <t>レイガイ</t>
    </rPh>
    <rPh sb="85" eb="88">
      <t>タイショウガイ</t>
    </rPh>
    <phoneticPr fontId="2"/>
  </si>
  <si>
    <t xml:space="preserve">   「プラス値」</t>
    <rPh sb="7" eb="8">
      <t>アタイ</t>
    </rPh>
    <phoneticPr fontId="2"/>
  </si>
  <si>
    <t>ご利用前に必ずお読みください。</t>
    <rPh sb="1" eb="3">
      <t>リヨウ</t>
    </rPh>
    <rPh sb="3" eb="4">
      <t>マエ</t>
    </rPh>
    <rPh sb="5" eb="6">
      <t>カナラ</t>
    </rPh>
    <rPh sb="8" eb="9">
      <t>ヨ</t>
    </rPh>
    <phoneticPr fontId="2"/>
  </si>
  <si>
    <t>■　１　計算期間</t>
    <rPh sb="4" eb="6">
      <t>ケイサン</t>
    </rPh>
    <phoneticPr fontId="2"/>
  </si>
  <si>
    <t>　　   （例） : 年度途中で加入・脱退のない方</t>
    <rPh sb="6" eb="7">
      <t>レイ</t>
    </rPh>
    <rPh sb="11" eb="13">
      <t>ネンド</t>
    </rPh>
    <rPh sb="13" eb="15">
      <t>トチュウ</t>
    </rPh>
    <rPh sb="19" eb="21">
      <t>ダッタイ</t>
    </rPh>
    <phoneticPr fontId="2"/>
  </si>
  <si>
    <t xml:space="preserve">　     　　 　　起算日 ： 「 ２０２５／４／１ 」  </t>
    <phoneticPr fontId="2"/>
  </si>
  <si>
    <t xml:space="preserve">   　 　　　　  終了日 ： 「 ２０２６／３／３１ 」</t>
    <phoneticPr fontId="2"/>
  </si>
  <si>
    <t xml:space="preserve">    　　　　    ※ 年度内の日付になるように入力してください。  </t>
    <phoneticPr fontId="2"/>
  </si>
  <si>
    <t>■　２　資格情報　　（ 入力が必要な方 ）</t>
    <rPh sb="4" eb="6">
      <t>シカク</t>
    </rPh>
    <rPh sb="6" eb="8">
      <t>ジョウホウ</t>
    </rPh>
    <rPh sb="12" eb="14">
      <t>ニュウリョク</t>
    </rPh>
    <rPh sb="15" eb="17">
      <t>ヒツヨウ</t>
    </rPh>
    <rPh sb="18" eb="19">
      <t>カタ</t>
    </rPh>
    <phoneticPr fontId="2"/>
  </si>
  <si>
    <t>賦課期日 4月１日 （ 年度途中の新規世帯は加入日 ） 時点の世帯状況で、所得が低い世帯の軽減判定を行います。　</t>
    <rPh sb="0" eb="2">
      <t>フカ</t>
    </rPh>
    <rPh sb="2" eb="4">
      <t>キジツ</t>
    </rPh>
    <rPh sb="31" eb="33">
      <t>セタイ</t>
    </rPh>
    <rPh sb="33" eb="35">
      <t>ジョウキョウ</t>
    </rPh>
    <rPh sb="37" eb="39">
      <t>ショトク</t>
    </rPh>
    <rPh sb="40" eb="41">
      <t>ヒク</t>
    </rPh>
    <rPh sb="42" eb="44">
      <t>セタイ</t>
    </rPh>
    <rPh sb="45" eb="47">
      <t>ケイゲン</t>
    </rPh>
    <rPh sb="47" eb="49">
      <t>ハンテイ</t>
    </rPh>
    <rPh sb="50" eb="51">
      <t>オコナ</t>
    </rPh>
    <phoneticPr fontId="2"/>
  </si>
  <si>
    <t xml:space="preserve"> 　 被保険者</t>
    <phoneticPr fontId="2"/>
  </si>
  <si>
    <t xml:space="preserve">  国民健康保険に加入 (予定 ） している世帯員</t>
    <rPh sb="2" eb="8">
      <t>コクミンケンコウホケン</t>
    </rPh>
    <rPh sb="9" eb="11">
      <t>カニュウ</t>
    </rPh>
    <rPh sb="13" eb="15">
      <t>ヨテイ</t>
    </rPh>
    <rPh sb="22" eb="25">
      <t>セタイイン</t>
    </rPh>
    <phoneticPr fontId="2"/>
  </si>
  <si>
    <t xml:space="preserve"> 　 普通世帯主</t>
    <phoneticPr fontId="2"/>
  </si>
  <si>
    <t xml:space="preserve">  国民健康保険に加入 (予定 ） している世帯主</t>
    <rPh sb="2" eb="4">
      <t>カニュウ</t>
    </rPh>
    <rPh sb="8" eb="11">
      <t>セタイヌシ</t>
    </rPh>
    <phoneticPr fontId="2"/>
  </si>
  <si>
    <t xml:space="preserve"> 　　普通世帯主 【擬主→国保】</t>
    <rPh sb="3" eb="5">
      <t>フツウ</t>
    </rPh>
    <rPh sb="5" eb="8">
      <t>セタイヌシ</t>
    </rPh>
    <rPh sb="13" eb="15">
      <t>コクホ</t>
    </rPh>
    <phoneticPr fontId="2"/>
  </si>
  <si>
    <t xml:space="preserve">  年度途中で国民健康保険に加入 (予定 ） している世帯主</t>
    <rPh sb="2" eb="6">
      <t>ネンドトチュウ</t>
    </rPh>
    <rPh sb="7" eb="9">
      <t>コクミン</t>
    </rPh>
    <rPh sb="9" eb="11">
      <t>ケンコウ</t>
    </rPh>
    <rPh sb="11" eb="13">
      <t>ホケン</t>
    </rPh>
    <rPh sb="14" eb="16">
      <t>カニュウ</t>
    </rPh>
    <rPh sb="27" eb="30">
      <t>セタイヌシ</t>
    </rPh>
    <phoneticPr fontId="2"/>
  </si>
  <si>
    <r>
      <rPr>
        <b/>
        <sz val="12"/>
        <rFont val="BIZ UDPゴシック"/>
        <family val="3"/>
        <charset val="128"/>
      </rPr>
      <t>☆印</t>
    </r>
    <r>
      <rPr>
        <sz val="12"/>
        <rFont val="BIZ UDPゴシック"/>
        <family val="3"/>
        <charset val="128"/>
      </rPr>
      <t>は被保険者の資格がないため、保険税は発生しませんが、</t>
    </r>
    <r>
      <rPr>
        <b/>
        <u/>
        <sz val="12"/>
        <rFont val="BIZ UDPゴシック"/>
        <family val="3"/>
        <charset val="128"/>
      </rPr>
      <t>☆印の所得金額を含めて軽減判定</t>
    </r>
    <r>
      <rPr>
        <sz val="12"/>
        <rFont val="BIZ UDPゴシック"/>
        <family val="3"/>
        <charset val="128"/>
      </rPr>
      <t>します。</t>
    </r>
    <rPh sb="1" eb="2">
      <t>シルシ</t>
    </rPh>
    <rPh sb="3" eb="7">
      <t>ヒホケンシャ</t>
    </rPh>
    <rPh sb="8" eb="10">
      <t>シカク</t>
    </rPh>
    <rPh sb="16" eb="19">
      <t>ホケンゼイ</t>
    </rPh>
    <rPh sb="20" eb="22">
      <t>ハッセイ</t>
    </rPh>
    <rPh sb="29" eb="30">
      <t>イン</t>
    </rPh>
    <rPh sb="31" eb="33">
      <t>ショトク</t>
    </rPh>
    <rPh sb="33" eb="35">
      <t>キンガク</t>
    </rPh>
    <rPh sb="36" eb="37">
      <t>フク</t>
    </rPh>
    <phoneticPr fontId="2"/>
  </si>
  <si>
    <t>※ 収入金額または所得金額は、前年 （ 令和７年度保険税の場合は令和６年１月〜１２月 ） の金額を入力してください。</t>
    <rPh sb="20" eb="22">
      <t>レイワ</t>
    </rPh>
    <rPh sb="23" eb="25">
      <t>ネンド</t>
    </rPh>
    <rPh sb="25" eb="27">
      <t>ホケン</t>
    </rPh>
    <rPh sb="27" eb="28">
      <t>ゼイ</t>
    </rPh>
    <rPh sb="29" eb="31">
      <t>バアイ</t>
    </rPh>
    <phoneticPr fontId="2"/>
  </si>
  <si>
    <t xml:space="preserve"> 事業所得、不動産所得、譲渡所得、雑所得等
 確定申告書 「 第一表 」、「 第三表 」でご確認ください</t>
    <rPh sb="9" eb="11">
      <t>ショトク</t>
    </rPh>
    <rPh sb="14" eb="16">
      <t>ショトク</t>
    </rPh>
    <rPh sb="17" eb="20">
      <t>ザツショトク</t>
    </rPh>
    <rPh sb="20" eb="21">
      <t>トウ</t>
    </rPh>
    <rPh sb="23" eb="25">
      <t>カクテイ</t>
    </rPh>
    <rPh sb="25" eb="28">
      <t>シンコクショ</t>
    </rPh>
    <rPh sb="31" eb="32">
      <t>ダイ</t>
    </rPh>
    <rPh sb="32" eb="34">
      <t>イチヒョウ</t>
    </rPh>
    <rPh sb="39" eb="40">
      <t>ダイ</t>
    </rPh>
    <rPh sb="41" eb="42">
      <t>ヒョウ</t>
    </rPh>
    <rPh sb="46" eb="48">
      <t>カクニン</t>
    </rPh>
    <phoneticPr fontId="2"/>
  </si>
  <si>
    <t xml:space="preserve">・ 所得が低い世帯の軽減判定 （ ７割・５割・２割 ） は、被保険者、普通世帯主、擬制世帯主、旧国保世帯員の所得の合計で計算します。  </t>
    <rPh sb="2" eb="4">
      <t>ショトク</t>
    </rPh>
    <rPh sb="5" eb="6">
      <t>ヒク</t>
    </rPh>
    <rPh sb="7" eb="9">
      <t>セタイ</t>
    </rPh>
    <rPh sb="30" eb="34">
      <t>ヒホケンシャ</t>
    </rPh>
    <rPh sb="35" eb="37">
      <t>フツウ</t>
    </rPh>
    <rPh sb="37" eb="40">
      <t>セタイヌシ</t>
    </rPh>
    <rPh sb="41" eb="43">
      <t>ギセイ</t>
    </rPh>
    <rPh sb="43" eb="46">
      <t>セタイヌシ</t>
    </rPh>
    <rPh sb="47" eb="48">
      <t>キュウ</t>
    </rPh>
    <rPh sb="48" eb="50">
      <t>コクホ</t>
    </rPh>
    <rPh sb="50" eb="53">
      <t>セタイイン</t>
    </rPh>
    <rPh sb="60" eb="62">
      <t>ケイサン</t>
    </rPh>
    <phoneticPr fontId="2"/>
  </si>
  <si>
    <t>・ 給与収入と年金収入の所得金額は、所得税の算出方法に基づいて計算しています。</t>
    <rPh sb="2" eb="4">
      <t>キュウヨ</t>
    </rPh>
    <rPh sb="4" eb="6">
      <t>シュウニュウ</t>
    </rPh>
    <rPh sb="7" eb="9">
      <t>ネンキン</t>
    </rPh>
    <rPh sb="9" eb="11">
      <t>シュウニュウ</t>
    </rPh>
    <rPh sb="12" eb="16">
      <t>ショトクキンガク</t>
    </rPh>
    <rPh sb="18" eb="21">
      <t>ショトクゼイ</t>
    </rPh>
    <rPh sb="22" eb="24">
      <t>サンシュツ</t>
    </rPh>
    <rPh sb="24" eb="26">
      <t>ホウホウ</t>
    </rPh>
    <rPh sb="27" eb="28">
      <t>モト</t>
    </rPh>
    <rPh sb="31" eb="33">
      <t>ケイサン</t>
    </rPh>
    <phoneticPr fontId="2"/>
  </si>
  <si>
    <t>・ 国保税は 「 月割り 」 で計算します。月末時点で国保の資格がある場合、その月の税額がかかります。</t>
    <rPh sb="9" eb="10">
      <t>ツキ</t>
    </rPh>
    <rPh sb="10" eb="11">
      <t>ワリ</t>
    </rPh>
    <phoneticPr fontId="2"/>
  </si>
  <si>
    <t>・ 計算期間内の４０歳、６５歳到達による介護保険資格得喪や７５歳到達時の国保資格喪失等は、「 生年月日 」 から計算します。</t>
    <rPh sb="2" eb="4">
      <t>ケイサン</t>
    </rPh>
    <rPh sb="4" eb="6">
      <t>キカン</t>
    </rPh>
    <rPh sb="6" eb="7">
      <t>ナイ</t>
    </rPh>
    <rPh sb="10" eb="11">
      <t>サイ</t>
    </rPh>
    <rPh sb="14" eb="15">
      <t>サイ</t>
    </rPh>
    <rPh sb="15" eb="17">
      <t>トウタツ</t>
    </rPh>
    <rPh sb="20" eb="22">
      <t>カイゴ</t>
    </rPh>
    <rPh sb="22" eb="24">
      <t>ホケン</t>
    </rPh>
    <rPh sb="24" eb="26">
      <t>シカク</t>
    </rPh>
    <rPh sb="26" eb="28">
      <t>トクソウ</t>
    </rPh>
    <rPh sb="31" eb="32">
      <t>サイ</t>
    </rPh>
    <rPh sb="32" eb="34">
      <t>トウタツ</t>
    </rPh>
    <rPh sb="34" eb="35">
      <t>ジ</t>
    </rPh>
    <rPh sb="36" eb="38">
      <t>コクホ</t>
    </rPh>
    <rPh sb="38" eb="40">
      <t>シカク</t>
    </rPh>
    <rPh sb="40" eb="42">
      <t>ソウシツ</t>
    </rPh>
    <rPh sb="42" eb="43">
      <t>トウ</t>
    </rPh>
    <rPh sb="47" eb="49">
      <t>セイネン</t>
    </rPh>
    <rPh sb="49" eb="51">
      <t>ガッピ</t>
    </rPh>
    <rPh sb="56" eb="58">
      <t>ケイサン</t>
    </rPh>
    <phoneticPr fontId="2"/>
  </si>
  <si>
    <r>
      <t>・ 所得の未申告者がいる　（</t>
    </r>
    <r>
      <rPr>
        <u/>
        <sz val="12"/>
        <rFont val="BIZ UDPゴシック"/>
        <family val="3"/>
        <charset val="128"/>
      </rPr>
      <t xml:space="preserve"> 所得が低い世帯の軽減を受けることができません</t>
    </r>
    <r>
      <rPr>
        <sz val="12"/>
        <rFont val="BIZ UDPゴシック"/>
        <family val="3"/>
        <charset val="128"/>
      </rPr>
      <t xml:space="preserve"> ）</t>
    </r>
    <rPh sb="2" eb="4">
      <t>ショトク</t>
    </rPh>
    <rPh sb="5" eb="8">
      <t>ミシンコク</t>
    </rPh>
    <rPh sb="8" eb="9">
      <t>シャ</t>
    </rPh>
    <rPh sb="15" eb="17">
      <t>ショトク</t>
    </rPh>
    <rPh sb="18" eb="19">
      <t>ヒク</t>
    </rPh>
    <rPh sb="20" eb="22">
      <t>セタイ</t>
    </rPh>
    <rPh sb="23" eb="25">
      <t>ケイゲン</t>
    </rPh>
    <rPh sb="26" eb="27">
      <t>ウ</t>
    </rPh>
    <phoneticPr fontId="2"/>
  </si>
  <si>
    <r>
      <t>次のような入力誤りがあると正しく計算できません。</t>
    </r>
    <r>
      <rPr>
        <b/>
        <u/>
        <sz val="12"/>
        <rFont val="BIZ UDPゴシック"/>
        <family val="3"/>
        <charset val="128"/>
      </rPr>
      <t>入力後は必ず確認してください。</t>
    </r>
    <rPh sb="5" eb="7">
      <t>ニュウリョク</t>
    </rPh>
    <rPh sb="7" eb="8">
      <t>アヤマ</t>
    </rPh>
    <rPh sb="13" eb="14">
      <t>タダ</t>
    </rPh>
    <rPh sb="16" eb="18">
      <t>ケイサン</t>
    </rPh>
    <rPh sb="24" eb="27">
      <t>ニュウリョクゴ</t>
    </rPh>
    <rPh sb="28" eb="29">
      <t>カナラ</t>
    </rPh>
    <rPh sb="30" eb="32">
      <t>カクニン</t>
    </rPh>
    <phoneticPr fontId="2"/>
  </si>
  <si>
    <t>・ 入力画面や印刷帳票にエラー表示がないか</t>
    <rPh sb="2" eb="6">
      <t>ニュウリョクガメン</t>
    </rPh>
    <rPh sb="7" eb="11">
      <t>インサツチョウヒョウ</t>
    </rPh>
    <rPh sb="15" eb="17">
      <t>ヒョウジ</t>
    </rPh>
    <phoneticPr fontId="2"/>
  </si>
  <si>
    <t>４３万円＋１０万円　×（給与所得者等－１） ＋ ３０．５万円  × 被保険者数</t>
    <rPh sb="2" eb="4">
      <t>マンエン</t>
    </rPh>
    <rPh sb="7" eb="9">
      <t>マンエン</t>
    </rPh>
    <rPh sb="11" eb="13">
      <t>キュウヨ</t>
    </rPh>
    <rPh sb="13" eb="16">
      <t>ショトクシャ</t>
    </rPh>
    <rPh sb="16" eb="17">
      <t>トウ</t>
    </rPh>
    <rPh sb="27" eb="29">
      <t>マンエン</t>
    </rPh>
    <phoneticPr fontId="2"/>
  </si>
  <si>
    <t>４３万円＋１０万円　×（給与所得者等－１） ＋ ５６　　万円　× 被保険者数</t>
    <rPh sb="2" eb="4">
      <t>マンエン</t>
    </rPh>
    <rPh sb="7" eb="9">
      <t>マンエン</t>
    </rPh>
    <rPh sb="12" eb="14">
      <t>キュウヨ</t>
    </rPh>
    <rPh sb="14" eb="17">
      <t>ショトクシャ</t>
    </rPh>
    <rPh sb="17" eb="18">
      <t>トウ</t>
    </rPh>
    <rPh sb="37" eb="38">
      <t>スウ</t>
    </rPh>
    <phoneticPr fontId="2"/>
  </si>
  <si>
    <t>　☆手続きに必要なもの 　雇用保険受給資格者証（通知）</t>
    <phoneticPr fontId="2"/>
  </si>
  <si>
    <t xml:space="preserve">  (３)　専従者給与は給与所得に含めず、専従者控除は控除前の金額で判定します。</t>
    <rPh sb="12" eb="14">
      <t>キュウヨ</t>
    </rPh>
    <phoneticPr fontId="2"/>
  </si>
  <si>
    <t>　保険税負担が急に増えることがないように、つぎの保険税の軽減があります。 　</t>
    <phoneticPr fontId="2"/>
  </si>
  <si>
    <t xml:space="preserve"> （１） 所得が少ない世帯の軽減 　　</t>
    <phoneticPr fontId="2"/>
  </si>
  <si>
    <t>　　　　保険税の軽減を受けている世帯は、世帯構成や収入が変わらなければ、</t>
    <phoneticPr fontId="2"/>
  </si>
  <si>
    <t>　　　　今までと同じ軽減を受けることができます。</t>
    <phoneticPr fontId="2"/>
  </si>
  <si>
    <r>
      <t>　　　　国保に残る人が</t>
    </r>
    <r>
      <rPr>
        <b/>
        <u val="double"/>
        <sz val="14"/>
        <rFont val="BIZ UDゴシック"/>
        <family val="3"/>
        <charset val="128"/>
      </rPr>
      <t>１人だけの世帯</t>
    </r>
    <r>
      <rPr>
        <sz val="14"/>
        <rFont val="BIZ UDゴシック"/>
        <family val="3"/>
        <charset val="128"/>
      </rPr>
      <t>は、最初の５年間は平等割が半額になり、</t>
    </r>
    <phoneticPr fontId="2"/>
  </si>
  <si>
    <t>　　　　その後３年間は４分の１軽減されます。介護保険分の平等割は軽減されません。</t>
    <phoneticPr fontId="2"/>
  </si>
  <si>
    <t>（単胎は４か月分。多胎妊娠の場合は６か月分）免除されます。</t>
    <rPh sb="1" eb="2">
      <t>タン</t>
    </rPh>
    <rPh sb="2" eb="3">
      <t>ハラ</t>
    </rPh>
    <phoneticPr fontId="2"/>
  </si>
  <si>
    <t>　　　※所得が少ない世帯の軽減が適用されている世帯の未就学児については、</t>
    <phoneticPr fontId="2"/>
  </si>
  <si>
    <t>　　　　軽減後の均等割が半額になります。</t>
    <phoneticPr fontId="2"/>
  </si>
  <si>
    <t xml:space="preserve">             （ 計算シートの生年月日で判定します ）</t>
    <rPh sb="15" eb="17">
      <t>ケイサン</t>
    </rPh>
    <rPh sb="21" eb="23">
      <t>セイネン</t>
    </rPh>
    <rPh sb="23" eb="25">
      <t>ガッピ</t>
    </rPh>
    <rPh sb="26" eb="28">
      <t>ハンテイ</t>
    </rPh>
    <phoneticPr fontId="2"/>
  </si>
  <si>
    <t>　１８歳未満被保険者に対する軽減　</t>
    <rPh sb="3" eb="4">
      <t>サイ</t>
    </rPh>
    <rPh sb="4" eb="6">
      <t>ミマン</t>
    </rPh>
    <rPh sb="6" eb="10">
      <t>ヒホケンシャ</t>
    </rPh>
    <rPh sb="11" eb="12">
      <t>タイ</t>
    </rPh>
    <rPh sb="14" eb="16">
      <t>ケイゲン</t>
    </rPh>
    <phoneticPr fontId="2"/>
  </si>
  <si>
    <t xml:space="preserve">  １８歳未満被保険者の「 子ども・子育て支援金 」に係る軽減後の均等割が</t>
    <rPh sb="14" eb="15">
      <t>コ</t>
    </rPh>
    <rPh sb="18" eb="20">
      <t>コソダ</t>
    </rPh>
    <rPh sb="21" eb="24">
      <t>シエンキン</t>
    </rPh>
    <rPh sb="27" eb="28">
      <t>カカ</t>
    </rPh>
    <rPh sb="29" eb="31">
      <t>ケイゲン</t>
    </rPh>
    <rPh sb="31" eb="32">
      <t>アト</t>
    </rPh>
    <rPh sb="33" eb="36">
      <t>キントウワリ</t>
    </rPh>
    <phoneticPr fontId="2"/>
  </si>
  <si>
    <t xml:space="preserve">  全額減額になります。 　</t>
    <phoneticPr fontId="2"/>
  </si>
  <si>
    <t>仮計算用　参考資料</t>
    <rPh sb="0" eb="1">
      <t>カリ</t>
    </rPh>
    <rPh sb="3" eb="4">
      <t>ヨウ</t>
    </rPh>
    <rPh sb="5" eb="9">
      <t>サンコウシリョウ</t>
    </rPh>
    <phoneticPr fontId="2"/>
  </si>
  <si>
    <t>※ 表中番号は様式で変わることがあります。</t>
    <rPh sb="2" eb="4">
      <t>ヒョウチュウ</t>
    </rPh>
    <rPh sb="4" eb="6">
      <t>バンゴウ</t>
    </rPh>
    <rPh sb="7" eb="9">
      <t>ヨウシキ</t>
    </rPh>
    <rPh sb="10" eb="11">
      <t>カ</t>
    </rPh>
    <phoneticPr fontId="2"/>
  </si>
  <si>
    <r>
      <t>　　　　所得　</t>
    </r>
    <r>
      <rPr>
        <sz val="8"/>
        <rFont val="BIZ UDPゴシック"/>
        <family val="3"/>
        <charset val="128"/>
      </rPr>
      <t>（令和７年様式）</t>
    </r>
    <rPh sb="8" eb="10">
      <t>レイワ</t>
    </rPh>
    <rPh sb="11" eb="12">
      <t>ネン</t>
    </rPh>
    <rPh sb="12" eb="14">
      <t>ヨウシキ</t>
    </rPh>
    <phoneticPr fontId="2"/>
  </si>
  <si>
    <t>・ 印刷帳票に表示された金額は正しく入力できているか</t>
    <rPh sb="2" eb="6">
      <t>インサツチョウヒョウ</t>
    </rPh>
    <rPh sb="7" eb="9">
      <t>ヒョウジ</t>
    </rPh>
    <rPh sb="12" eb="14">
      <t>キンガク</t>
    </rPh>
    <rPh sb="15" eb="16">
      <t>タダ</t>
    </rPh>
    <rPh sb="18" eb="20">
      <t>ニュウリョク</t>
    </rPh>
    <phoneticPr fontId="2"/>
  </si>
  <si>
    <t>・ 入力漏れや入力誤りがある場合は、「 計算対象外 」 として印刷帳票に表示されます。</t>
    <rPh sb="2" eb="5">
      <t>ニュウリョクモ</t>
    </rPh>
    <rPh sb="7" eb="9">
      <t>ニュウリョク</t>
    </rPh>
    <rPh sb="9" eb="10">
      <t>アヤマ</t>
    </rPh>
    <rPh sb="14" eb="16">
      <t>バアイ</t>
    </rPh>
    <rPh sb="20" eb="22">
      <t>ケイサン</t>
    </rPh>
    <rPh sb="22" eb="25">
      <t>タイショウガイ</t>
    </rPh>
    <rPh sb="31" eb="33">
      <t>インサツ</t>
    </rPh>
    <rPh sb="33" eb="35">
      <t>チョウヒョウ</t>
    </rPh>
    <rPh sb="36" eb="38">
      <t>ヒョウジ</t>
    </rPh>
    <phoneticPr fontId="2"/>
  </si>
  <si>
    <t>・ １世帯につき世帯員６人まで計算できます。</t>
    <rPh sb="3" eb="5">
      <t>セタイ</t>
    </rPh>
    <rPh sb="8" eb="11">
      <t>セタイイン</t>
    </rPh>
    <rPh sb="12" eb="13">
      <t>ニン</t>
    </rPh>
    <rPh sb="15" eb="17">
      <t>ケイサン</t>
    </rPh>
    <phoneticPr fontId="2"/>
  </si>
  <si>
    <t>　　　 日付は西暦で  「 ／ 」  を含めて入力してください。</t>
    <rPh sb="4" eb="6">
      <t>ヒヅケ</t>
    </rPh>
    <phoneticPr fontId="2"/>
  </si>
  <si>
    <t>賦課期日 （世帯軽減判定）</t>
    <rPh sb="0" eb="4">
      <t>フカキジツ</t>
    </rPh>
    <rPh sb="6" eb="8">
      <t>セタイ</t>
    </rPh>
    <rPh sb="8" eb="10">
      <t>ケイゲン</t>
    </rPh>
    <rPh sb="10" eb="12">
      <t>ハンテイ</t>
    </rPh>
    <phoneticPr fontId="2"/>
  </si>
  <si>
    <t>　概算額です　</t>
    <rPh sb="1" eb="3">
      <t>ガイサン</t>
    </rPh>
    <rPh sb="3" eb="4">
      <t>ガク</t>
    </rPh>
    <phoneticPr fontId="2"/>
  </si>
  <si>
    <r>
      <t xml:space="preserve">　　　　　　　　　　個人別に按分計算した場合の参考金額です　 </t>
    </r>
    <r>
      <rPr>
        <b/>
        <sz val="8"/>
        <rFont val="BIZ UDPゴシック"/>
        <family val="3"/>
        <charset val="128"/>
      </rPr>
      <t>（合計額は一致しません）</t>
    </r>
    <rPh sb="10" eb="12">
      <t>コジン</t>
    </rPh>
    <rPh sb="12" eb="13">
      <t>ベツ</t>
    </rPh>
    <rPh sb="14" eb="16">
      <t>アンブン</t>
    </rPh>
    <rPh sb="16" eb="18">
      <t>ケイサン</t>
    </rPh>
    <rPh sb="20" eb="22">
      <t>バアイ</t>
    </rPh>
    <rPh sb="32" eb="35">
      <t>ゴウケイガク</t>
    </rPh>
    <rPh sb="36" eb="38">
      <t>イッチ</t>
    </rPh>
    <phoneticPr fontId="2"/>
  </si>
  <si>
    <t xml:space="preserve">             　　  　（ 計算シートの資格情報、生年月日等で簡易的に判定します ）</t>
    <rPh sb="20" eb="22">
      <t>ケイサン</t>
    </rPh>
    <rPh sb="26" eb="28">
      <t>シカク</t>
    </rPh>
    <rPh sb="28" eb="30">
      <t>ジョウホウ</t>
    </rPh>
    <rPh sb="31" eb="33">
      <t>セイネン</t>
    </rPh>
    <rPh sb="33" eb="35">
      <t>ガッピ</t>
    </rPh>
    <rPh sb="35" eb="36">
      <t>ナド</t>
    </rPh>
    <rPh sb="37" eb="40">
      <t>カンイテキ</t>
    </rPh>
    <rPh sb="41" eb="43">
      <t>ハンテイ</t>
    </rPh>
    <phoneticPr fontId="2"/>
  </si>
  <si>
    <t>所得割・均等割・平等割按分</t>
    <rPh sb="0" eb="3">
      <t>ショトクワリ</t>
    </rPh>
    <rPh sb="4" eb="7">
      <t>キントウワリ</t>
    </rPh>
    <rPh sb="8" eb="11">
      <t>ビョウドウワリ</t>
    </rPh>
    <rPh sb="11" eb="13">
      <t>アンブン</t>
    </rPh>
    <phoneticPr fontId="2"/>
  </si>
  <si>
    <t>所得割按分、均等割・平等割固定</t>
    <rPh sb="0" eb="3">
      <t>ショトクワリ</t>
    </rPh>
    <rPh sb="3" eb="5">
      <t>アンブン</t>
    </rPh>
    <rPh sb="6" eb="9">
      <t>キントウワリ</t>
    </rPh>
    <rPh sb="10" eb="13">
      <t>ビョウドウワリ</t>
    </rPh>
    <rPh sb="13" eb="15">
      <t>コテイ</t>
    </rPh>
    <phoneticPr fontId="2"/>
  </si>
  <si>
    <t>☆擬制世帯主</t>
  </si>
  <si>
    <t>☆擬制世帯主【旧国保】</t>
    <rPh sb="7" eb="8">
      <t>キュウ</t>
    </rPh>
    <rPh sb="8" eb="10">
      <t>コクホ</t>
    </rPh>
    <phoneticPr fontId="2"/>
  </si>
  <si>
    <t xml:space="preserve"> ☆擬制世帯主</t>
  </si>
  <si>
    <t xml:space="preserve"> ☆擬制世帯主 【旧国保】</t>
    <rPh sb="9" eb="10">
      <t>キュウ</t>
    </rPh>
    <rPh sb="10" eb="12">
      <t>コクホ</t>
    </rPh>
    <phoneticPr fontId="2"/>
  </si>
  <si>
    <t>世帯主が納税義務者となります。国保に加入していない場合でも 「 ☆擬制世帯主 」 を選択してください。</t>
    <rPh sb="0" eb="3">
      <t>セタイヌシ</t>
    </rPh>
    <rPh sb="15" eb="17">
      <t>コクホ</t>
    </rPh>
    <rPh sb="18" eb="20">
      <t>カニュウ</t>
    </rPh>
    <rPh sb="25" eb="27">
      <t>バアイ</t>
    </rPh>
    <rPh sb="42" eb="44">
      <t>センタク</t>
    </rPh>
    <phoneticPr fontId="2"/>
  </si>
  <si>
    <t xml:space="preserve">給与所得者等　該当  </t>
    <rPh sb="0" eb="2">
      <t>キュウヨ</t>
    </rPh>
    <rPh sb="2" eb="5">
      <t>ショトクシャ</t>
    </rPh>
    <rPh sb="5" eb="6">
      <t>トウ</t>
    </rPh>
    <rPh sb="7" eb="9">
      <t>ガイトウ</t>
    </rPh>
    <phoneticPr fontId="2"/>
  </si>
  <si>
    <t xml:space="preserve">・ 専従者給与や専従者控除がある </t>
    <rPh sb="2" eb="5">
      <t>センジュウシャ</t>
    </rPh>
    <rPh sb="5" eb="7">
      <t>キュウヨ</t>
    </rPh>
    <rPh sb="8" eb="11">
      <t>センジュウシャ</t>
    </rPh>
    <rPh sb="11" eb="13">
      <t>コウジョ</t>
    </rPh>
    <phoneticPr fontId="2"/>
  </si>
  <si>
    <t xml:space="preserve">    ②　年金収入</t>
    <rPh sb="6" eb="8">
      <t>ネンキン</t>
    </rPh>
    <rPh sb="8" eb="10">
      <t>シュウニュウ</t>
    </rPh>
    <phoneticPr fontId="2"/>
  </si>
  <si>
    <t>ホームページでは非公開</t>
  </si>
  <si>
    <r>
      <t>　保険税を算定する際、対象者の前年の給与所得を</t>
    </r>
    <r>
      <rPr>
        <b/>
        <u val="double"/>
        <sz val="14"/>
        <rFont val="BIZ UDゴシック"/>
        <family val="3"/>
        <charset val="128"/>
      </rPr>
      <t>３０／１００</t>
    </r>
    <r>
      <rPr>
        <sz val="14"/>
        <rFont val="BIZ UDゴシック"/>
        <family val="3"/>
        <charset val="128"/>
      </rPr>
      <t>として算定</t>
    </r>
    <phoneticPr fontId="2"/>
  </si>
  <si>
    <t xml:space="preserve">  します。 </t>
    <phoneticPr fontId="2"/>
  </si>
  <si>
    <t xml:space="preserve"> 【対象者】　次のすべての条件を満たす人が対象です。 　　</t>
    <phoneticPr fontId="2"/>
  </si>
  <si>
    <t>　（１） 旧被扶養者の所得割はかかりません。</t>
    <phoneticPr fontId="2"/>
  </si>
  <si>
    <t>　（２） 旧被扶養者の均等割が、２年間半額になります。</t>
    <phoneticPr fontId="2"/>
  </si>
  <si>
    <t>　（３） 被保険者が旧被扶養者のみの世帯は、平等割が２年間半額になります。</t>
    <phoneticPr fontId="2"/>
  </si>
  <si>
    <t>※ただし、上記 (２) と (３) は、７割、５割軽減世帯を除きます。</t>
    <phoneticPr fontId="2"/>
  </si>
  <si>
    <t xml:space="preserve">  申請が必要です。</t>
    <phoneticPr fontId="2"/>
  </si>
  <si>
    <t>取得日・喪失日</t>
    <rPh sb="0" eb="2">
      <t>シュトク</t>
    </rPh>
    <rPh sb="2" eb="3">
      <t>ニチ</t>
    </rPh>
    <rPh sb="4" eb="6">
      <t>ソウシツ</t>
    </rPh>
    <rPh sb="6" eb="7">
      <t>ビ</t>
    </rPh>
    <phoneticPr fontId="2"/>
  </si>
  <si>
    <t xml:space="preserve">　　・ 終了日　　３月３１日　（年度末日）  または　 「 国保資格を喪失した日　」 </t>
    <rPh sb="30" eb="32">
      <t>コクホ</t>
    </rPh>
    <rPh sb="35" eb="37">
      <t>ソウシツ</t>
    </rPh>
    <rPh sb="39" eb="40">
      <t>ヒ</t>
    </rPh>
    <phoneticPr fontId="2"/>
  </si>
  <si>
    <t>【 入力チェック項目 】</t>
    <rPh sb="2" eb="4">
      <t>ニュウリョク</t>
    </rPh>
    <rPh sb="8" eb="10">
      <t>コウモク</t>
    </rPh>
    <phoneticPr fontId="2"/>
  </si>
  <si>
    <t>専従者給与除く 調整控除・専従者・特別控除前</t>
    <rPh sb="0" eb="3">
      <t>センジュウシャ</t>
    </rPh>
    <rPh sb="3" eb="5">
      <t>キュウヨ</t>
    </rPh>
    <rPh sb="5" eb="6">
      <t>ノゾ</t>
    </rPh>
    <rPh sb="8" eb="10">
      <t>チョウセイ</t>
    </rPh>
    <rPh sb="10" eb="12">
      <t>コウジョ</t>
    </rPh>
    <rPh sb="13" eb="16">
      <t>センジュウシャ</t>
    </rPh>
    <rPh sb="17" eb="19">
      <t>トクベツ</t>
    </rPh>
    <rPh sb="19" eb="21">
      <t>コウジョ</t>
    </rPh>
    <rPh sb="21" eb="22">
      <t>マエ</t>
    </rPh>
    <phoneticPr fontId="2"/>
  </si>
  <si>
    <t>所得金額調整控除額（専従者除く）</t>
    <rPh sb="0" eb="3">
      <t>ショトクキン</t>
    </rPh>
    <rPh sb="3" eb="4">
      <t>ガク</t>
    </rPh>
    <rPh sb="4" eb="6">
      <t>チョウセイ</t>
    </rPh>
    <rPh sb="6" eb="8">
      <t>コウジョ</t>
    </rPh>
    <rPh sb="8" eb="9">
      <t>ガク</t>
    </rPh>
    <rPh sb="10" eb="12">
      <t>センジュウ</t>
    </rPh>
    <rPh sb="12" eb="13">
      <t>シャ</t>
    </rPh>
    <rPh sb="13" eb="14">
      <t>ノゾ</t>
    </rPh>
    <phoneticPr fontId="2"/>
  </si>
  <si>
    <t>専従者給与者除く、【調整控除前】</t>
    <rPh sb="0" eb="3">
      <t>センジュウシャ</t>
    </rPh>
    <rPh sb="3" eb="5">
      <t>キュウヨ</t>
    </rPh>
    <rPh sb="5" eb="6">
      <t>シャ</t>
    </rPh>
    <rPh sb="6" eb="7">
      <t>ノゾ</t>
    </rPh>
    <rPh sb="10" eb="12">
      <t>チョウセイ</t>
    </rPh>
    <rPh sb="12" eb="14">
      <t>コウジョ</t>
    </rPh>
    <rPh sb="14" eb="15">
      <t>マエ</t>
    </rPh>
    <phoneticPr fontId="2"/>
  </si>
  <si>
    <t>令和8年度保険税は令和７年度の保険税率で計算することができます。</t>
    <rPh sb="0" eb="2">
      <t>レイワ</t>
    </rPh>
    <rPh sb="3" eb="5">
      <t>ネンド</t>
    </rPh>
    <rPh sb="5" eb="8">
      <t>ホケンゼイ</t>
    </rPh>
    <rPh sb="9" eb="11">
      <t>レイワ</t>
    </rPh>
    <rPh sb="12" eb="14">
      <t>ネンド</t>
    </rPh>
    <rPh sb="15" eb="19">
      <t>ホケンゼイリツ</t>
    </rPh>
    <rPh sb="20" eb="22">
      <t>ケイサン</t>
    </rPh>
    <phoneticPr fontId="2"/>
  </si>
  <si>
    <t>令和８年度の保険税率は３月下旬頃に公開予定ですのでしばらくお待ちください</t>
    <rPh sb="0" eb="2">
      <t>レイワ</t>
    </rPh>
    <rPh sb="3" eb="5">
      <t>ネンド</t>
    </rPh>
    <rPh sb="6" eb="10">
      <t>ホケンゼイリツ</t>
    </rPh>
    <rPh sb="12" eb="13">
      <t>ガツ</t>
    </rPh>
    <rPh sb="13" eb="15">
      <t>ゲジュン</t>
    </rPh>
    <rPh sb="15" eb="16">
      <t>ゴロ</t>
    </rPh>
    <rPh sb="17" eb="19">
      <t>コウカイ</t>
    </rPh>
    <rPh sb="19" eb="21">
      <t>ヨテイ</t>
    </rPh>
    <rPh sb="30" eb="31">
      <t>マ</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</si>
</sst>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76" formatCode="#,##0.0;[Red]\-#,##0.0"/>
    <numFmt numFmtId="177" formatCode="#,##0_ "/>
    <numFmt numFmtId="178" formatCode="[$]ggge&quot;年&quot;m&quot;月&quot;d&quot;日&quot;;@"/>
    <numFmt numFmtId="179" formatCode="0_ "/>
    <numFmt numFmtId="180" formatCode="#,##0&quot;歳&quot;"/>
    <numFmt numFmtId="181" formatCode="#,##0;&quot;△ &quot;#,##0"/>
    <numFmt numFmtId="182" formatCode="##,###&quot;円&quot;"/>
    <numFmt numFmtId="183" formatCode="#,##0&quot;月間&quot;"/>
    <numFmt numFmtId="184" formatCode="#,##0&quot;人&quot;"/>
    <numFmt numFmtId="185" formatCode="0;&quot;△ &quot;0"/>
    <numFmt numFmtId="186" formatCode="#,##0\ &quot;円&quot;"/>
    <numFmt numFmtId="187" formatCode="#,##0_ ;[Red]\-#,##0\ "/>
    <numFmt numFmtId="188" formatCode="#,##0\ &quot;円／月&quot;"/>
    <numFmt numFmtId="189" formatCode="yyyy/m/d;@"/>
    <numFmt numFmtId="190" formatCode="yyyy&quot;年&quot;m&quot;月&quot;d&quot;日時点&quot;"/>
    <numFmt numFmtId="191" formatCode="#,##0;&quot;( &quot;&quot;△ &quot;#,##0&quot; )&quot;"/>
    <numFmt numFmtId="192" formatCode="&quot;令和&quot;#,##0&quot;年度&quot;"/>
    <numFmt numFmtId="193" formatCode="#,##0;[Red]#,##0"/>
    <numFmt numFmtId="194" formatCode="#,##0&quot;ヶ月&quot;"/>
    <numFmt numFmtId="195" formatCode="&quot;(&quot;#,##0&quot;歳)&quot;"/>
    <numFmt numFmtId="196" formatCode="&quot;(税率&quot;\ \ #,##0&quot;年度)&quot;"/>
    <numFmt numFmtId="197" formatCode="[$-411]ggge&quot;年&quot;m&quot;月&quot;d&quot;日&quot;;@"/>
    <numFmt numFmtId="198" formatCode="&quot;(&quot;\ \ \ \ \ \ \ \ \ \ #,##0\ &quot;円／月)&quot;"/>
    <numFmt numFmtId="199" formatCode="000&quot;ー&quot;000&quot;ー&quot;00"/>
    <numFmt numFmtId="200" formatCode="000&quot;－&quot;000&quot;－&quot;00"/>
    <numFmt numFmtId="201" formatCode="0;;\ ;@"/>
    <numFmt numFmtId="202" formatCode="#,##0&quot;月目&quot;"/>
    <numFmt numFmtId="203" formatCode="&quot;令和&quot;#,##0&quot;年度　軽減判定&quot;"/>
    <numFmt numFmtId="204" formatCode="&quot;／&quot;#,##0&quot;ヶ月&quot;"/>
    <numFmt numFmtId="205" formatCode="&quot;(&quot;\ \ \ \ \ \ #,##0\ &quot;円／月 )&quot;"/>
    <numFmt numFmtId="206" formatCode="&quot;令和&quot;#,##0&quot;年度　 国民健康保険税　仮計算&quot;"/>
    <numFmt numFmtId="207" formatCode="0.000%"/>
  </numFmts>
  <fonts count="57" x14ac:knownFonts="1">
    <font>
      <sz val="11"/>
      <name val="ＭＳ Ｐゴシック"/>
      <family val="3"/>
      <charset val="128"/>
    </font>
    <font>
      <sz val="11"/>
      <name val="ＭＳ Ｐゴシック"/>
      <family val="3"/>
      <charset val="128"/>
    </font>
    <font>
      <sz val="6"/>
      <name val="ＭＳ Ｐゴシック"/>
      <family val="3"/>
      <charset val="128"/>
    </font>
    <font>
      <b/>
      <sz val="16"/>
      <name val="BIZ UDPゴシック"/>
      <family val="3"/>
      <charset val="128"/>
    </font>
    <font>
      <sz val="12"/>
      <name val="BIZ UDPゴシック"/>
      <family val="3"/>
      <charset val="128"/>
    </font>
    <font>
      <b/>
      <sz val="14"/>
      <name val="BIZ UDPゴシック"/>
      <family val="3"/>
      <charset val="128"/>
    </font>
    <font>
      <b/>
      <sz val="12"/>
      <name val="BIZ UDPゴシック"/>
      <family val="3"/>
      <charset val="128"/>
    </font>
    <font>
      <b/>
      <u val="double"/>
      <sz val="12"/>
      <name val="BIZ UDPゴシック"/>
      <family val="3"/>
      <charset val="128"/>
    </font>
    <font>
      <sz val="9"/>
      <name val="BIZ UDPゴシック"/>
      <family val="3"/>
      <charset val="128"/>
    </font>
    <font>
      <sz val="10"/>
      <name val="BIZ UDPゴシック"/>
      <family val="3"/>
      <charset val="128"/>
    </font>
    <font>
      <b/>
      <sz val="11"/>
      <name val="BIZ UDPゴシック"/>
      <family val="3"/>
      <charset val="128"/>
    </font>
    <font>
      <sz val="11"/>
      <name val="BIZ UDPゴシック"/>
      <family val="3"/>
      <charset val="128"/>
    </font>
    <font>
      <u/>
      <sz val="12"/>
      <name val="BIZ UDPゴシック"/>
      <family val="3"/>
      <charset val="128"/>
    </font>
    <font>
      <b/>
      <sz val="14"/>
      <name val="BIZ UDゴシック"/>
      <family val="3"/>
      <charset val="128"/>
    </font>
    <font>
      <sz val="14"/>
      <name val="BIZ UDゴシック"/>
      <family val="3"/>
      <charset val="128"/>
    </font>
    <font>
      <sz val="13"/>
      <name val="BIZ UDゴシック"/>
      <family val="3"/>
      <charset val="128"/>
    </font>
    <font>
      <b/>
      <u val="double"/>
      <sz val="14"/>
      <name val="BIZ UDゴシック"/>
      <family val="3"/>
      <charset val="128"/>
    </font>
    <font>
      <u val="double"/>
      <sz val="14"/>
      <name val="BIZ UDゴシック"/>
      <family val="3"/>
      <charset val="128"/>
    </font>
    <font>
      <b/>
      <sz val="13"/>
      <name val="BIZ UDゴシック"/>
      <family val="3"/>
      <charset val="128"/>
    </font>
    <font>
      <b/>
      <sz val="20"/>
      <name val="BIZ UDPゴシック"/>
      <family val="3"/>
      <charset val="128"/>
    </font>
    <font>
      <b/>
      <sz val="20"/>
      <color indexed="9"/>
      <name val="BIZ UDPゴシック"/>
      <family val="3"/>
      <charset val="128"/>
    </font>
    <font>
      <sz val="14"/>
      <name val="BIZ UDPゴシック"/>
      <family val="3"/>
      <charset val="128"/>
    </font>
    <font>
      <b/>
      <sz val="11"/>
      <color indexed="10"/>
      <name val="BIZ UDPゴシック"/>
      <family val="3"/>
      <charset val="128"/>
    </font>
    <font>
      <b/>
      <sz val="9"/>
      <name val="BIZ UDPゴシック"/>
      <family val="3"/>
      <charset val="128"/>
    </font>
    <font>
      <b/>
      <sz val="12"/>
      <color indexed="10"/>
      <name val="BIZ UDPゴシック"/>
      <family val="3"/>
      <charset val="128"/>
    </font>
    <font>
      <sz val="11"/>
      <color indexed="10"/>
      <name val="BIZ UDPゴシック"/>
      <family val="3"/>
      <charset val="128"/>
    </font>
    <font>
      <sz val="6"/>
      <name val="BIZ UDPゴシック"/>
      <family val="3"/>
      <charset val="128"/>
    </font>
    <font>
      <b/>
      <sz val="16"/>
      <name val="BIZ UDゴシック"/>
      <family val="3"/>
      <charset val="128"/>
    </font>
    <font>
      <b/>
      <sz val="12"/>
      <color indexed="9"/>
      <name val="BIZ UDPゴシック"/>
      <family val="3"/>
      <charset val="128"/>
    </font>
    <font>
      <sz val="12"/>
      <color indexed="9"/>
      <name val="BIZ UDPゴシック"/>
      <family val="3"/>
      <charset val="128"/>
    </font>
    <font>
      <sz val="11"/>
      <name val="Segoe UI Symbol"/>
      <family val="2"/>
    </font>
    <font>
      <sz val="22"/>
      <name val="Segoe UI Symbol"/>
      <family val="2"/>
    </font>
    <font>
      <b/>
      <u val="double"/>
      <sz val="14"/>
      <name val="BIZ UDPゴシック"/>
      <family val="3"/>
      <charset val="128"/>
    </font>
    <font>
      <sz val="18"/>
      <name val="Segoe UI Symbol"/>
      <family val="2"/>
    </font>
    <font>
      <sz val="11"/>
      <color theme="1"/>
      <name val="ＭＳ Ｐゴシック"/>
      <family val="3"/>
      <charset val="128"/>
      <scheme val="minor"/>
    </font>
    <font>
      <u/>
      <sz val="11"/>
      <color theme="10"/>
      <name val="ＭＳ Ｐゴシック"/>
      <family val="3"/>
      <charset val="128"/>
    </font>
    <font>
      <b/>
      <sz val="20"/>
      <color theme="1"/>
      <name val="BIZ UDPゴシック"/>
      <family val="3"/>
      <charset val="128"/>
    </font>
    <font>
      <b/>
      <sz val="12"/>
      <color theme="1"/>
      <name val="BIZ UDPゴシック"/>
      <family val="3"/>
      <charset val="128"/>
    </font>
    <font>
      <b/>
      <sz val="11"/>
      <color theme="1"/>
      <name val="BIZ UDPゴシック"/>
      <family val="3"/>
      <charset val="128"/>
    </font>
    <font>
      <u/>
      <sz val="11"/>
      <color theme="10"/>
      <name val="BIZ UDPゴシック"/>
      <family val="3"/>
      <charset val="128"/>
    </font>
    <font>
      <sz val="11"/>
      <color theme="1"/>
      <name val="BIZ UDPゴシック"/>
      <family val="3"/>
      <charset val="128"/>
    </font>
    <font>
      <sz val="14"/>
      <color theme="1"/>
      <name val="BIZ UDPゴシック"/>
      <family val="3"/>
      <charset val="128"/>
    </font>
    <font>
      <sz val="11"/>
      <color rgb="FF000000"/>
      <name val="BIZ UDPゴシック"/>
      <family val="3"/>
      <charset val="128"/>
    </font>
    <font>
      <sz val="11"/>
      <color rgb="FFFF0000"/>
      <name val="BIZ UDPゴシック"/>
      <family val="3"/>
      <charset val="128"/>
    </font>
    <font>
      <u/>
      <sz val="14"/>
      <color theme="10"/>
      <name val="BIZ UDPゴシック"/>
      <family val="3"/>
      <charset val="128"/>
    </font>
    <font>
      <sz val="16"/>
      <name val="BIZ UDPゴシック"/>
      <family val="3"/>
      <charset val="128"/>
    </font>
    <font>
      <sz val="22"/>
      <name val="BIZ UDPゴシック"/>
      <family val="3"/>
      <charset val="128"/>
    </font>
    <font>
      <sz val="18"/>
      <name val="BIZ UDPゴシック"/>
      <family val="3"/>
      <charset val="128"/>
    </font>
    <font>
      <b/>
      <u/>
      <sz val="12"/>
      <name val="BIZ UDPゴシック"/>
      <family val="3"/>
      <charset val="128"/>
    </font>
    <font>
      <u/>
      <sz val="11"/>
      <name val="BIZ UDPゴシック"/>
      <family val="3"/>
      <charset val="128"/>
    </font>
    <font>
      <b/>
      <sz val="10"/>
      <color indexed="10"/>
      <name val="BIZ UDPゴシック"/>
      <family val="3"/>
      <charset val="128"/>
    </font>
    <font>
      <sz val="8"/>
      <name val="BIZ UDPゴシック"/>
      <family val="3"/>
      <charset val="128"/>
    </font>
    <font>
      <b/>
      <sz val="8"/>
      <name val="BIZ UDPゴシック"/>
      <family val="3"/>
      <charset val="128"/>
    </font>
    <font>
      <sz val="11"/>
      <color theme="0"/>
      <name val="BIZ UDPゴシック"/>
      <family val="3"/>
      <charset val="128"/>
    </font>
    <font>
      <u/>
      <sz val="11"/>
      <color theme="0"/>
      <name val="ＭＳ Ｐゴシック"/>
      <family val="3"/>
      <charset val="128"/>
    </font>
    <font>
      <b/>
      <sz val="11"/>
      <color theme="0"/>
      <name val="BIZ UDPゴシック"/>
      <family val="3"/>
      <charset val="128"/>
    </font>
    <font>
      <u/>
      <sz val="11"/>
      <color theme="0"/>
      <name val="BIZ UDPゴシック"/>
      <family val="3"/>
      <charset val="128"/>
    </font>
  </fonts>
  <fills count="19">
    <fill>
      <patternFill patternType="none"/>
    </fill>
    <fill>
      <patternFill patternType="gray125"/>
    </fill>
    <fill>
      <patternFill patternType="solid">
        <fgColor indexed="34"/>
        <bgColor indexed="64"/>
      </patternFill>
    </fill>
    <fill>
      <patternFill patternType="solid">
        <fgColor indexed="9"/>
        <bgColor indexed="64"/>
      </patternFill>
    </fill>
    <fill>
      <patternFill patternType="solid">
        <fgColor indexed="43"/>
        <bgColor indexed="64"/>
      </patternFill>
    </fill>
    <fill>
      <patternFill patternType="solid">
        <fgColor rgb="FF92D050"/>
        <bgColor indexed="64"/>
      </patternFill>
    </fill>
    <fill>
      <patternFill patternType="solid">
        <fgColor theme="0" tint="-0.14896084475234231"/>
        <bgColor indexed="64"/>
      </patternFill>
    </fill>
    <fill>
      <patternFill patternType="solid">
        <fgColor theme="0" tint="-0.14908291879024629"/>
        <bgColor indexed="64"/>
      </patternFill>
    </fill>
    <fill>
      <patternFill patternType="solid">
        <fgColor theme="0" tint="-0.14932706686605426"/>
        <bgColor indexed="64"/>
      </patternFill>
    </fill>
    <fill>
      <patternFill patternType="solid">
        <fgColor theme="0" tint="-0.14975432599871821"/>
        <bgColor indexed="64"/>
      </patternFill>
    </fill>
    <fill>
      <patternFill patternType="solid">
        <fgColor theme="0" tint="-0.14938810388500626"/>
        <bgColor indexed="64"/>
      </patternFill>
    </fill>
    <fill>
      <patternFill patternType="solid">
        <fgColor theme="0" tint="-0.14889980773339029"/>
        <bgColor indexed="64"/>
      </patternFill>
    </fill>
    <fill>
      <patternFill patternType="solid">
        <fgColor theme="0" tint="-0.14993743705557422"/>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66"/>
        <bgColor indexed="64"/>
      </patternFill>
    </fill>
    <fill>
      <patternFill patternType="solid">
        <fgColor rgb="FFFF660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right/>
      <top style="double">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bottom/>
      <diagonal/>
    </border>
    <border>
      <left/>
      <right/>
      <top/>
      <bottom style="double">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double">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dotted">
        <color indexed="64"/>
      </top>
      <bottom style="medium">
        <color indexed="64"/>
      </bottom>
      <diagonal/>
    </border>
    <border>
      <left style="thick">
        <color theme="1" tint="0.34998626667073579"/>
      </left>
      <right style="thin">
        <color indexed="64"/>
      </right>
      <top style="thick">
        <color theme="1" tint="0.34998626667073579"/>
      </top>
      <bottom/>
      <diagonal/>
    </border>
    <border>
      <left style="thin">
        <color indexed="64"/>
      </left>
      <right style="thin">
        <color indexed="64"/>
      </right>
      <top style="thick">
        <color theme="1" tint="0.34998626667073579"/>
      </top>
      <bottom/>
      <diagonal/>
    </border>
    <border>
      <left/>
      <right style="thick">
        <color theme="1" tint="0.34998626667073579"/>
      </right>
      <top style="thick">
        <color theme="1" tint="0.34998626667073579"/>
      </top>
      <bottom/>
      <diagonal/>
    </border>
    <border>
      <left style="thick">
        <color theme="1" tint="0.34998626667073579"/>
      </left>
      <right/>
      <top/>
      <bottom/>
      <diagonal/>
    </border>
    <border>
      <left style="thick">
        <color theme="1" tint="0.34998626667073579"/>
      </left>
      <right/>
      <top/>
      <bottom style="thick">
        <color theme="1" tint="0.34998626667073579"/>
      </bottom>
      <diagonal/>
    </border>
    <border>
      <left style="thin">
        <color indexed="64"/>
      </left>
      <right style="thin">
        <color indexed="64"/>
      </right>
      <top/>
      <bottom style="thick">
        <color theme="1" tint="0.34998626667073579"/>
      </bottom>
      <diagonal/>
    </border>
    <border>
      <left/>
      <right/>
      <top style="thick">
        <color theme="1" tint="0.34998626667073579"/>
      </top>
      <bottom/>
      <diagonal/>
    </border>
    <border>
      <left style="thin">
        <color indexed="64"/>
      </left>
      <right/>
      <top/>
      <bottom style="thick">
        <color theme="1" tint="0.34998626667073579"/>
      </bottom>
      <diagonal/>
    </border>
    <border>
      <left/>
      <right style="thick">
        <color theme="1" tint="0.34998626667073579"/>
      </right>
      <top/>
      <bottom/>
      <diagonal/>
    </border>
    <border>
      <left/>
      <right style="thick">
        <color theme="1" tint="0.34998626667073579"/>
      </right>
      <top/>
      <bottom style="thick">
        <color theme="1" tint="0.34998626667073579"/>
      </bottom>
      <diagonal/>
    </border>
    <border>
      <left style="thick">
        <color theme="1" tint="0.34998626667073579"/>
      </left>
      <right/>
      <top style="thick">
        <color theme="1" tint="0.34998626667073579"/>
      </top>
      <bottom/>
      <diagonal/>
    </border>
    <border>
      <left style="thick">
        <color theme="1" tint="0.34998626667073579"/>
      </left>
      <right/>
      <top/>
      <bottom style="thin">
        <color indexed="64"/>
      </bottom>
      <diagonal/>
    </border>
    <border>
      <left/>
      <right style="thick">
        <color theme="1" tint="0.34998626667073579"/>
      </right>
      <top/>
      <bottom style="thin">
        <color indexed="64"/>
      </bottom>
      <diagonal/>
    </border>
    <border>
      <left style="thick">
        <color theme="1" tint="0.34998626667073579"/>
      </left>
      <right/>
      <top style="thin">
        <color indexed="64"/>
      </top>
      <bottom/>
      <diagonal/>
    </border>
    <border>
      <left/>
      <right style="thick">
        <color theme="1" tint="0.34998626667073579"/>
      </right>
      <top style="thin">
        <color indexed="64"/>
      </top>
      <bottom/>
      <diagonal/>
    </border>
    <border>
      <left/>
      <right/>
      <top/>
      <bottom style="thick">
        <color theme="1" tint="0.34998626667073579"/>
      </bottom>
      <diagonal/>
    </border>
  </borders>
  <cellStyleXfs count="4">
    <xf numFmtId="0" fontId="0" fillId="0" borderId="0"/>
    <xf numFmtId="0" fontId="35" fillId="0" borderId="0" applyNumberFormat="0" applyFill="0" applyBorder="0" applyAlignment="0" applyProtection="0"/>
    <xf numFmtId="38" fontId="1" fillId="0" borderId="0" applyFont="0" applyFill="0" applyBorder="0" applyAlignment="0" applyProtection="0"/>
    <xf numFmtId="0" fontId="34" fillId="0" borderId="0">
      <alignment vertical="center"/>
    </xf>
  </cellStyleXfs>
  <cellXfs count="464">
    <xf numFmtId="0" fontId="0" fillId="0" borderId="0" xfId="0"/>
    <xf numFmtId="0" fontId="5" fillId="0" borderId="0" xfId="0" applyFont="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1" xfId="0" applyFont="1" applyBorder="1" applyAlignment="1">
      <alignment horizontal="center" vertical="center"/>
    </xf>
    <xf numFmtId="0" fontId="6" fillId="0" borderId="0" xfId="0" applyFont="1" applyAlignment="1">
      <alignment vertical="center"/>
    </xf>
    <xf numFmtId="0" fontId="6" fillId="0" borderId="0" xfId="0" applyFont="1" applyAlignment="1">
      <alignment horizontal="left" vertical="center"/>
    </xf>
    <xf numFmtId="0" fontId="4" fillId="3" borderId="0" xfId="0" applyFont="1" applyFill="1" applyAlignment="1">
      <alignment vertical="center"/>
    </xf>
    <xf numFmtId="0" fontId="4" fillId="3" borderId="0" xfId="0" applyFont="1" applyFill="1" applyAlignment="1">
      <alignment horizontal="center" vertical="center" wrapText="1"/>
    </xf>
    <xf numFmtId="0" fontId="4" fillId="3" borderId="0" xfId="0" applyFont="1" applyFill="1" applyAlignment="1">
      <alignment horizontal="left" vertical="center" wrapText="1"/>
    </xf>
    <xf numFmtId="0" fontId="4" fillId="0" borderId="0" xfId="0" applyFont="1" applyAlignment="1">
      <alignment horizontal="center" vertical="center"/>
    </xf>
    <xf numFmtId="0" fontId="5" fillId="3" borderId="0" xfId="0" applyFont="1" applyFill="1" applyAlignment="1">
      <alignment vertical="center"/>
    </xf>
    <xf numFmtId="0" fontId="14" fillId="3" borderId="0" xfId="0" applyFont="1" applyFill="1" applyAlignment="1">
      <alignment vertical="center"/>
    </xf>
    <xf numFmtId="0" fontId="14" fillId="0" borderId="0" xfId="0" applyFont="1" applyAlignment="1">
      <alignment vertical="center"/>
    </xf>
    <xf numFmtId="0" fontId="15" fillId="0" borderId="0" xfId="0" applyFont="1" applyAlignment="1">
      <alignment vertical="center"/>
    </xf>
    <xf numFmtId="0" fontId="14" fillId="0" borderId="0" xfId="0" applyFont="1" applyAlignment="1">
      <alignment horizontal="center" vertical="center"/>
    </xf>
    <xf numFmtId="0" fontId="13" fillId="0" borderId="0" xfId="0" applyFont="1" applyAlignment="1">
      <alignment vertical="center"/>
    </xf>
    <xf numFmtId="0" fontId="13" fillId="0" borderId="0" xfId="0" applyFont="1" applyAlignment="1">
      <alignment horizontal="center" vertical="center"/>
    </xf>
    <xf numFmtId="0" fontId="15" fillId="0" borderId="0" xfId="0" applyFont="1" applyAlignment="1">
      <alignment horizontal="center" vertical="center"/>
    </xf>
    <xf numFmtId="0" fontId="15" fillId="3" borderId="0" xfId="0" applyFont="1" applyFill="1" applyAlignment="1">
      <alignment vertical="center"/>
    </xf>
    <xf numFmtId="0" fontId="18" fillId="3" borderId="0" xfId="0" applyFont="1" applyFill="1" applyAlignment="1">
      <alignment vertical="center"/>
    </xf>
    <xf numFmtId="0" fontId="11" fillId="0" borderId="0" xfId="0" applyFont="1" applyAlignment="1">
      <alignment vertical="center"/>
    </xf>
    <xf numFmtId="14" fontId="10" fillId="4" borderId="21" xfId="0" applyNumberFormat="1" applyFont="1" applyFill="1" applyBorder="1" applyAlignment="1" applyProtection="1">
      <alignment vertical="center" shrinkToFit="1"/>
      <protection locked="0"/>
    </xf>
    <xf numFmtId="183" fontId="10" fillId="4" borderId="21" xfId="0" applyNumberFormat="1" applyFont="1" applyFill="1" applyBorder="1" applyAlignment="1" applyProtection="1">
      <alignment horizontal="center" vertical="center" shrinkToFit="1"/>
      <protection locked="0"/>
    </xf>
    <xf numFmtId="14" fontId="10" fillId="2" borderId="21" xfId="0" applyNumberFormat="1" applyFont="1" applyFill="1" applyBorder="1" applyAlignment="1" applyProtection="1">
      <alignment vertical="center" shrinkToFit="1"/>
      <protection locked="0"/>
    </xf>
    <xf numFmtId="179" fontId="10" fillId="2" borderId="21" xfId="0" applyNumberFormat="1" applyFont="1" applyFill="1" applyBorder="1" applyAlignment="1" applyProtection="1">
      <alignment horizontal="right" vertical="center" shrinkToFit="1"/>
      <protection locked="0"/>
    </xf>
    <xf numFmtId="38" fontId="10" fillId="4" borderId="21" xfId="2" applyFont="1" applyFill="1" applyBorder="1" applyAlignment="1" applyProtection="1">
      <alignment horizontal="right" vertical="center" shrinkToFit="1"/>
      <protection locked="0"/>
    </xf>
    <xf numFmtId="0" fontId="11" fillId="0" borderId="0" xfId="0" applyFont="1" applyAlignment="1" applyProtection="1">
      <alignment vertical="center" shrinkToFit="1"/>
      <protection hidden="1"/>
    </xf>
    <xf numFmtId="0" fontId="21" fillId="0" borderId="0" xfId="0" applyFont="1" applyAlignment="1" applyProtection="1">
      <alignment horizontal="center" vertical="center" shrinkToFit="1"/>
      <protection hidden="1"/>
    </xf>
    <xf numFmtId="14" fontId="4" fillId="0" borderId="0" xfId="0" applyNumberFormat="1" applyFont="1" applyAlignment="1" applyProtection="1">
      <alignment horizontal="right" vertical="center" shrinkToFit="1"/>
      <protection hidden="1"/>
    </xf>
    <xf numFmtId="14" fontId="4" fillId="3" borderId="0" xfId="0" applyNumberFormat="1" applyFont="1" applyFill="1" applyAlignment="1" applyProtection="1">
      <alignment horizontal="right" vertical="center" shrinkToFit="1"/>
      <protection hidden="1"/>
    </xf>
    <xf numFmtId="0" fontId="25" fillId="3" borderId="0" xfId="0" applyFont="1" applyFill="1" applyAlignment="1" applyProtection="1">
      <alignment vertical="center"/>
      <protection hidden="1"/>
    </xf>
    <xf numFmtId="0" fontId="11" fillId="0" borderId="0" xfId="0" applyFont="1" applyAlignment="1" applyProtection="1">
      <alignment horizontal="center" vertical="center" shrinkToFit="1"/>
      <protection hidden="1"/>
    </xf>
    <xf numFmtId="14" fontId="11" fillId="3" borderId="0" xfId="0" applyNumberFormat="1" applyFont="1" applyFill="1" applyAlignment="1" applyProtection="1">
      <alignment vertical="center" shrinkToFit="1"/>
      <protection hidden="1"/>
    </xf>
    <xf numFmtId="14" fontId="23" fillId="2" borderId="21" xfId="0" applyNumberFormat="1" applyFont="1" applyFill="1" applyBorder="1" applyAlignment="1" applyProtection="1">
      <alignment horizontal="center" vertical="center" wrapText="1" shrinkToFit="1"/>
      <protection locked="0"/>
    </xf>
    <xf numFmtId="192" fontId="10" fillId="3" borderId="0" xfId="0" applyNumberFormat="1" applyFont="1" applyFill="1" applyAlignment="1" applyProtection="1">
      <alignment horizontal="right" vertical="center" shrinkToFit="1"/>
      <protection hidden="1"/>
    </xf>
    <xf numFmtId="0" fontId="11" fillId="0" borderId="1" xfId="0" applyFont="1" applyBorder="1" applyAlignment="1">
      <alignment horizontal="center" vertical="center"/>
    </xf>
    <xf numFmtId="0" fontId="11" fillId="14" borderId="0" xfId="0" applyFont="1" applyFill="1" applyAlignment="1">
      <alignment horizontal="left" vertical="center" shrinkToFit="1"/>
    </xf>
    <xf numFmtId="0" fontId="4" fillId="14" borderId="0" xfId="0" applyFont="1" applyFill="1" applyAlignment="1">
      <alignment vertical="center"/>
    </xf>
    <xf numFmtId="0" fontId="11" fillId="0" borderId="0" xfId="0" applyFont="1" applyAlignment="1">
      <alignment horizontal="center" vertical="center"/>
    </xf>
    <xf numFmtId="0" fontId="42" fillId="4" borderId="21" xfId="0" applyFont="1" applyFill="1" applyBorder="1" applyAlignment="1" applyProtection="1">
      <alignment horizontal="center" vertical="center" shrinkToFit="1"/>
      <protection locked="0"/>
    </xf>
    <xf numFmtId="0" fontId="45" fillId="0" borderId="0" xfId="0" applyFont="1" applyAlignment="1">
      <alignment vertical="center"/>
    </xf>
    <xf numFmtId="0" fontId="45" fillId="0" borderId="0" xfId="0" applyFont="1" applyAlignment="1">
      <alignment horizontal="right" vertical="center"/>
    </xf>
    <xf numFmtId="0" fontId="46" fillId="0" borderId="0" xfId="0" applyFont="1" applyAlignment="1">
      <alignment vertical="center"/>
    </xf>
    <xf numFmtId="0" fontId="4" fillId="0" borderId="1" xfId="0" applyFont="1" applyBorder="1" applyAlignment="1">
      <alignment horizontal="center" vertical="center" shrinkToFit="1"/>
    </xf>
    <xf numFmtId="0" fontId="4" fillId="13" borderId="1" xfId="0" applyFont="1" applyFill="1" applyBorder="1" applyAlignment="1">
      <alignment horizontal="center" vertical="center" wrapText="1" shrinkToFit="1"/>
    </xf>
    <xf numFmtId="0" fontId="4" fillId="0" borderId="1" xfId="0" applyFont="1" applyBorder="1" applyAlignment="1">
      <alignment horizontal="left" vertical="center" shrinkToFit="1"/>
    </xf>
    <xf numFmtId="0" fontId="4" fillId="14" borderId="1" xfId="0" applyFont="1" applyFill="1" applyBorder="1" applyAlignment="1">
      <alignment horizontal="center" vertical="center" shrinkToFit="1"/>
    </xf>
    <xf numFmtId="0" fontId="4" fillId="0" borderId="1" xfId="0" applyFont="1" applyBorder="1" applyAlignment="1">
      <alignment vertical="center" shrinkToFit="1"/>
    </xf>
    <xf numFmtId="0" fontId="4" fillId="14" borderId="1" xfId="0" applyFont="1" applyFill="1" applyBorder="1" applyAlignment="1">
      <alignment horizontal="left" vertical="center" shrinkToFit="1"/>
    </xf>
    <xf numFmtId="0" fontId="4" fillId="14" borderId="1" xfId="0" applyFont="1" applyFill="1" applyBorder="1" applyAlignment="1">
      <alignment vertical="center" shrinkToFit="1"/>
    </xf>
    <xf numFmtId="0" fontId="47" fillId="0" borderId="0" xfId="0" applyFont="1" applyAlignment="1">
      <alignment vertical="center"/>
    </xf>
    <xf numFmtId="0" fontId="19" fillId="0" borderId="0" xfId="0" applyFont="1" applyAlignment="1">
      <alignment vertical="center"/>
    </xf>
    <xf numFmtId="0" fontId="5" fillId="14" borderId="0" xfId="0" applyFont="1" applyFill="1" applyAlignment="1">
      <alignment vertical="center"/>
    </xf>
    <xf numFmtId="0" fontId="4" fillId="0" borderId="1" xfId="0" applyFont="1" applyBorder="1" applyAlignment="1">
      <alignment vertical="center" wrapText="1" shrinkToFit="1"/>
    </xf>
    <xf numFmtId="0" fontId="11" fillId="0" borderId="1" xfId="0" applyFont="1" applyBorder="1" applyAlignment="1">
      <alignment horizontal="center" vertical="center" wrapText="1" shrinkToFit="1"/>
    </xf>
    <xf numFmtId="0" fontId="4" fillId="0" borderId="1" xfId="0" applyFont="1" applyBorder="1" applyAlignment="1">
      <alignment horizontal="center" vertical="center" wrapText="1" shrinkToFit="1"/>
    </xf>
    <xf numFmtId="0" fontId="4" fillId="0" borderId="7" xfId="0" applyFont="1" applyBorder="1" applyAlignment="1">
      <alignment horizontal="left" vertical="center" shrinkToFit="1"/>
    </xf>
    <xf numFmtId="0" fontId="4" fillId="0" borderId="3" xfId="0" applyFont="1" applyBorder="1" applyAlignment="1">
      <alignment vertical="center"/>
    </xf>
    <xf numFmtId="0" fontId="10" fillId="0" borderId="0" xfId="0" applyFont="1" applyAlignment="1">
      <alignment vertical="center"/>
    </xf>
    <xf numFmtId="0" fontId="11" fillId="0" borderId="1" xfId="0" applyFont="1" applyBorder="1" applyAlignment="1">
      <alignment horizontal="center" vertical="center" wrapText="1"/>
    </xf>
    <xf numFmtId="0" fontId="49" fillId="0" borderId="0" xfId="0" applyFont="1" applyAlignment="1">
      <alignment vertical="center"/>
    </xf>
    <xf numFmtId="0" fontId="4" fillId="14" borderId="1" xfId="0" applyFont="1" applyFill="1" applyBorder="1" applyAlignment="1">
      <alignment horizontal="center" vertical="center" wrapText="1" shrinkToFit="1"/>
    </xf>
    <xf numFmtId="0" fontId="4" fillId="14" borderId="1" xfId="0" applyFont="1" applyFill="1" applyBorder="1" applyAlignment="1">
      <alignment vertical="center" wrapText="1" shrinkToFit="1"/>
    </xf>
    <xf numFmtId="0" fontId="4" fillId="0" borderId="1" xfId="0" applyFont="1" applyBorder="1" applyAlignment="1">
      <alignment horizontal="left" vertical="center" wrapText="1" shrinkToFit="1"/>
    </xf>
    <xf numFmtId="0" fontId="4" fillId="14" borderId="35" xfId="0" applyFont="1" applyFill="1" applyBorder="1" applyAlignment="1">
      <alignment horizontal="center" vertical="center" wrapText="1"/>
    </xf>
    <xf numFmtId="0" fontId="4" fillId="0" borderId="26"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0" xfId="0" applyFont="1" applyAlignment="1">
      <alignment vertical="center" wrapText="1" shrinkToFit="1"/>
    </xf>
    <xf numFmtId="0" fontId="11" fillId="14" borderId="0" xfId="0" applyFont="1" applyFill="1" applyAlignment="1">
      <alignment horizontal="center" vertical="center"/>
    </xf>
    <xf numFmtId="0" fontId="10" fillId="0" borderId="0" xfId="0" applyFont="1" applyAlignment="1">
      <alignment horizontal="center" vertical="center"/>
    </xf>
    <xf numFmtId="10" fontId="11" fillId="0" borderId="1" xfId="0" applyNumberFormat="1" applyFont="1" applyBorder="1" applyAlignment="1">
      <alignment horizontal="center" vertical="center"/>
    </xf>
    <xf numFmtId="207" fontId="11" fillId="0" borderId="1" xfId="0" applyNumberFormat="1" applyFont="1" applyBorder="1" applyAlignment="1">
      <alignment horizontal="center" vertical="center"/>
    </xf>
    <xf numFmtId="0" fontId="4" fillId="14" borderId="1" xfId="0" applyFont="1" applyFill="1" applyBorder="1" applyAlignment="1">
      <alignment horizontal="center" vertical="center"/>
    </xf>
    <xf numFmtId="0" fontId="6" fillId="14" borderId="1" xfId="0" applyFont="1" applyFill="1" applyBorder="1" applyAlignment="1">
      <alignment horizontal="left" vertical="center"/>
    </xf>
    <xf numFmtId="0" fontId="4" fillId="14" borderId="1" xfId="0" applyFont="1" applyFill="1" applyBorder="1" applyAlignment="1">
      <alignment horizontal="center" vertical="center" wrapText="1"/>
    </xf>
    <xf numFmtId="0" fontId="6" fillId="14" borderId="1" xfId="0" applyFont="1" applyFill="1" applyBorder="1" applyAlignment="1">
      <alignment horizontal="left" vertical="center" wrapText="1"/>
    </xf>
    <xf numFmtId="0" fontId="13" fillId="14" borderId="0" xfId="0" applyFont="1" applyFill="1" applyAlignment="1">
      <alignment vertical="center"/>
    </xf>
    <xf numFmtId="0" fontId="14" fillId="14" borderId="0" xfId="0" applyFont="1" applyFill="1" applyAlignment="1">
      <alignment vertical="center"/>
    </xf>
    <xf numFmtId="0" fontId="15" fillId="14" borderId="0" xfId="0" applyFont="1" applyFill="1" applyAlignment="1">
      <alignment vertical="center"/>
    </xf>
    <xf numFmtId="0" fontId="14" fillId="14" borderId="0" xfId="0" applyFont="1" applyFill="1" applyAlignment="1">
      <alignment horizontal="center" vertical="center"/>
    </xf>
    <xf numFmtId="38" fontId="14" fillId="14" borderId="1" xfId="2" applyFont="1" applyFill="1" applyBorder="1" applyAlignment="1" applyProtection="1">
      <alignment horizontal="center" vertical="center" shrinkToFit="1"/>
    </xf>
    <xf numFmtId="0" fontId="13" fillId="14" borderId="0" xfId="0" applyFont="1" applyFill="1" applyAlignment="1">
      <alignment horizontal="center" vertical="center"/>
    </xf>
    <xf numFmtId="0" fontId="15" fillId="14" borderId="0" xfId="0" applyFont="1" applyFill="1" applyAlignment="1">
      <alignment horizontal="center" vertical="center"/>
    </xf>
    <xf numFmtId="0" fontId="14" fillId="14" borderId="0" xfId="0" applyFont="1" applyFill="1" applyAlignment="1">
      <alignment horizontal="left" vertical="center"/>
    </xf>
    <xf numFmtId="0" fontId="9" fillId="14" borderId="0" xfId="0" applyFont="1" applyFill="1" applyAlignment="1">
      <alignment horizontal="left" vertical="center"/>
    </xf>
    <xf numFmtId="0" fontId="45" fillId="14" borderId="0" xfId="0" applyFont="1" applyFill="1" applyAlignment="1">
      <alignment vertical="center"/>
    </xf>
    <xf numFmtId="0" fontId="4" fillId="14" borderId="0" xfId="0" applyFont="1" applyFill="1" applyAlignment="1">
      <alignment horizontal="left" vertical="center"/>
    </xf>
    <xf numFmtId="0" fontId="37" fillId="14" borderId="0" xfId="0" applyFont="1" applyFill="1" applyAlignment="1">
      <alignment vertical="center"/>
    </xf>
    <xf numFmtId="0" fontId="38" fillId="14" borderId="0" xfId="0" applyFont="1" applyFill="1" applyAlignment="1">
      <alignment horizontal="left" vertical="center" shrinkToFit="1"/>
    </xf>
    <xf numFmtId="0" fontId="37" fillId="14" borderId="0" xfId="0" applyFont="1" applyFill="1" applyAlignment="1">
      <alignment horizontal="left" vertical="center"/>
    </xf>
    <xf numFmtId="0" fontId="6" fillId="14" borderId="1" xfId="0" applyFont="1" applyFill="1" applyBorder="1" applyAlignment="1">
      <alignment horizontal="left" vertical="center" shrinkToFit="1"/>
    </xf>
    <xf numFmtId="0" fontId="6" fillId="14" borderId="1" xfId="0" applyFont="1" applyFill="1" applyBorder="1" applyAlignment="1">
      <alignment horizontal="center" vertical="center"/>
    </xf>
    <xf numFmtId="0" fontId="10" fillId="14" borderId="1" xfId="0" applyFont="1" applyFill="1" applyBorder="1" applyAlignment="1">
      <alignment horizontal="left" vertical="center" shrinkToFit="1"/>
    </xf>
    <xf numFmtId="0" fontId="6" fillId="14" borderId="1" xfId="0" applyFont="1" applyFill="1" applyBorder="1" applyAlignment="1">
      <alignment vertical="center"/>
    </xf>
    <xf numFmtId="0" fontId="11" fillId="14" borderId="1" xfId="0" applyFont="1" applyFill="1" applyBorder="1" applyAlignment="1">
      <alignment horizontal="center" vertical="center" wrapText="1"/>
    </xf>
    <xf numFmtId="0" fontId="11" fillId="14" borderId="1" xfId="0" applyFont="1" applyFill="1" applyBorder="1" applyAlignment="1">
      <alignment horizontal="center" vertical="center" wrapText="1" shrinkToFit="1"/>
    </xf>
    <xf numFmtId="0" fontId="6" fillId="14" borderId="0" xfId="0" applyFont="1" applyFill="1" applyAlignment="1">
      <alignment vertical="center"/>
    </xf>
    <xf numFmtId="0" fontId="4" fillId="14" borderId="0" xfId="0" applyFont="1" applyFill="1" applyAlignment="1">
      <alignment horizontal="center" vertical="center"/>
    </xf>
    <xf numFmtId="183" fontId="38" fillId="16" borderId="21" xfId="0" applyNumberFormat="1" applyFont="1" applyFill="1" applyBorder="1" applyAlignment="1" applyProtection="1">
      <alignment horizontal="center" vertical="center" shrinkToFit="1"/>
      <protection locked="0"/>
    </xf>
    <xf numFmtId="0" fontId="51" fillId="0" borderId="0" xfId="0" applyFont="1" applyAlignment="1" applyProtection="1">
      <alignment vertical="center" shrinkToFit="1"/>
      <protection hidden="1"/>
    </xf>
    <xf numFmtId="0" fontId="4" fillId="0" borderId="26" xfId="0" applyFont="1" applyBorder="1" applyAlignment="1">
      <alignment horizontal="center" vertical="center"/>
    </xf>
    <xf numFmtId="0" fontId="11" fillId="0" borderId="0" xfId="0" applyFont="1" applyAlignment="1">
      <alignment horizontal="left" vertical="center" shrinkToFit="1"/>
    </xf>
    <xf numFmtId="0" fontId="5" fillId="17" borderId="0" xfId="0" applyFont="1" applyFill="1" applyAlignment="1">
      <alignment vertical="center"/>
    </xf>
    <xf numFmtId="0" fontId="4" fillId="17" borderId="0" xfId="0" applyFont="1" applyFill="1" applyAlignment="1">
      <alignment vertical="center"/>
    </xf>
    <xf numFmtId="0" fontId="21" fillId="14" borderId="0" xfId="0" applyFont="1" applyFill="1" applyAlignment="1">
      <alignment horizontal="center" vertical="center"/>
    </xf>
    <xf numFmtId="0" fontId="27" fillId="17" borderId="0" xfId="0" applyFont="1" applyFill="1" applyAlignment="1">
      <alignment vertical="center"/>
    </xf>
    <xf numFmtId="0" fontId="13" fillId="17" borderId="0" xfId="0" applyFont="1" applyFill="1" applyAlignment="1">
      <alignment vertical="center"/>
    </xf>
    <xf numFmtId="0" fontId="14" fillId="17" borderId="0" xfId="0" applyFont="1" applyFill="1" applyAlignment="1">
      <alignment vertical="center"/>
    </xf>
    <xf numFmtId="0" fontId="14" fillId="17" borderId="0" xfId="0" applyFont="1" applyFill="1" applyAlignment="1">
      <alignment horizontal="center" vertical="center"/>
    </xf>
    <xf numFmtId="0" fontId="15" fillId="17" borderId="0" xfId="0" applyFont="1" applyFill="1" applyAlignment="1">
      <alignment vertical="center"/>
    </xf>
    <xf numFmtId="0" fontId="15" fillId="17" borderId="0" xfId="0" applyFont="1" applyFill="1" applyAlignment="1">
      <alignment horizontal="center" vertical="center"/>
    </xf>
    <xf numFmtId="0" fontId="36" fillId="18" borderId="0" xfId="0" applyFont="1" applyFill="1" applyAlignment="1">
      <alignment horizontal="centerContinuous" vertical="center"/>
    </xf>
    <xf numFmtId="0" fontId="4" fillId="18" borderId="0" xfId="0" applyFont="1" applyFill="1" applyAlignment="1">
      <alignment horizontal="centerContinuous" vertical="center"/>
    </xf>
    <xf numFmtId="179" fontId="6" fillId="17" borderId="0" xfId="0" applyNumberFormat="1" applyFont="1" applyFill="1" applyAlignment="1">
      <alignment vertical="center"/>
    </xf>
    <xf numFmtId="0" fontId="21" fillId="0" borderId="0" xfId="0" applyFont="1" applyAlignment="1">
      <alignment vertical="center"/>
    </xf>
    <xf numFmtId="0" fontId="10" fillId="0" borderId="0" xfId="0" applyFont="1" applyAlignment="1" applyProtection="1">
      <alignment vertical="center" shrinkToFit="1"/>
      <protection hidden="1"/>
    </xf>
    <xf numFmtId="0" fontId="5" fillId="0" borderId="0" xfId="0" applyFont="1" applyAlignment="1" applyProtection="1">
      <alignment horizontal="centerContinuous" vertical="center" shrinkToFit="1"/>
      <protection hidden="1"/>
    </xf>
    <xf numFmtId="0" fontId="11" fillId="0" borderId="0" xfId="0" applyFont="1" applyAlignment="1" applyProtection="1">
      <alignment horizontal="right" vertical="center" shrinkToFit="1"/>
      <protection hidden="1"/>
    </xf>
    <xf numFmtId="0" fontId="11" fillId="3" borderId="0" xfId="0" applyFont="1" applyFill="1" applyAlignment="1" applyProtection="1">
      <alignment horizontal="right" vertical="center" shrinkToFit="1"/>
      <protection hidden="1"/>
    </xf>
    <xf numFmtId="0" fontId="53" fillId="14" borderId="0" xfId="0" applyFont="1" applyFill="1" applyAlignment="1" applyProtection="1">
      <alignment vertical="center" shrinkToFit="1"/>
      <protection hidden="1"/>
    </xf>
    <xf numFmtId="38" fontId="53" fillId="14" borderId="0" xfId="2" applyFont="1" applyFill="1" applyAlignment="1" applyProtection="1">
      <alignment vertical="center" shrinkToFit="1"/>
      <protection hidden="1"/>
    </xf>
    <xf numFmtId="0" fontId="53" fillId="14" borderId="0" xfId="0" applyFont="1" applyFill="1" applyAlignment="1" applyProtection="1">
      <alignment horizontal="right" vertical="center"/>
      <protection hidden="1"/>
    </xf>
    <xf numFmtId="0" fontId="11" fillId="3" borderId="0" xfId="0" applyFont="1" applyFill="1" applyAlignment="1" applyProtection="1">
      <alignment vertical="center" shrinkToFit="1"/>
      <protection hidden="1"/>
    </xf>
    <xf numFmtId="0" fontId="11" fillId="3" borderId="0" xfId="0" applyFont="1" applyFill="1" applyAlignment="1" applyProtection="1">
      <alignment vertical="center"/>
      <protection hidden="1"/>
    </xf>
    <xf numFmtId="0" fontId="24" fillId="0" borderId="0" xfId="0" applyFont="1" applyAlignment="1" applyProtection="1">
      <alignment vertical="center" shrinkToFit="1"/>
      <protection hidden="1"/>
    </xf>
    <xf numFmtId="0" fontId="6" fillId="0" borderId="0" xfId="0" applyFont="1" applyAlignment="1" applyProtection="1">
      <alignment horizontal="center" vertical="center" shrinkToFit="1"/>
      <protection hidden="1"/>
    </xf>
    <xf numFmtId="199" fontId="6" fillId="0" borderId="0" xfId="0" applyNumberFormat="1" applyFont="1" applyAlignment="1" applyProtection="1">
      <alignment horizontal="center" vertical="center" shrinkToFit="1"/>
      <protection hidden="1"/>
    </xf>
    <xf numFmtId="0" fontId="11" fillId="0" borderId="0" xfId="0" applyFont="1" applyAlignment="1" applyProtection="1">
      <alignment horizontal="centerContinuous" vertical="center" shrinkToFit="1"/>
      <protection hidden="1"/>
    </xf>
    <xf numFmtId="14" fontId="53" fillId="14" borderId="0" xfId="0" applyNumberFormat="1" applyFont="1" applyFill="1" applyAlignment="1" applyProtection="1">
      <alignment horizontal="right" vertical="center"/>
      <protection hidden="1"/>
    </xf>
    <xf numFmtId="0" fontId="54" fillId="14" borderId="0" xfId="1" applyFont="1" applyFill="1" applyAlignment="1" applyProtection="1">
      <alignment vertical="center" shrinkToFit="1"/>
      <protection hidden="1"/>
    </xf>
    <xf numFmtId="183" fontId="55" fillId="14" borderId="0" xfId="0" applyNumberFormat="1" applyFont="1" applyFill="1" applyAlignment="1" applyProtection="1">
      <alignment horizontal="right" vertical="center"/>
      <protection hidden="1"/>
    </xf>
    <xf numFmtId="38" fontId="11" fillId="0" borderId="0" xfId="2" applyFont="1" applyAlignment="1" applyProtection="1">
      <alignment vertical="center" shrinkToFit="1"/>
      <protection hidden="1"/>
    </xf>
    <xf numFmtId="14" fontId="39" fillId="3" borderId="0" xfId="1" applyNumberFormat="1" applyFont="1" applyFill="1" applyAlignment="1" applyProtection="1">
      <alignment vertical="center" shrinkToFit="1"/>
      <protection hidden="1"/>
    </xf>
    <xf numFmtId="200" fontId="5" fillId="4" borderId="22" xfId="0" applyNumberFormat="1" applyFont="1" applyFill="1" applyBorder="1" applyAlignment="1" applyProtection="1">
      <alignment horizontal="center" vertical="center" shrinkToFit="1"/>
      <protection hidden="1"/>
    </xf>
    <xf numFmtId="0" fontId="11" fillId="4" borderId="22" xfId="0" applyFont="1" applyFill="1" applyBorder="1" applyAlignment="1" applyProtection="1">
      <alignment horizontal="center" vertical="center" shrinkToFit="1"/>
      <protection hidden="1"/>
    </xf>
    <xf numFmtId="38" fontId="56" fillId="14" borderId="0" xfId="1" applyNumberFormat="1" applyFont="1" applyFill="1" applyAlignment="1" applyProtection="1">
      <alignment vertical="center" shrinkToFit="1"/>
      <protection hidden="1"/>
    </xf>
    <xf numFmtId="14" fontId="56" fillId="14" borderId="0" xfId="1" applyNumberFormat="1" applyFont="1" applyFill="1" applyBorder="1" applyAlignment="1" applyProtection="1">
      <alignment horizontal="left" vertical="center"/>
      <protection hidden="1"/>
    </xf>
    <xf numFmtId="38" fontId="11" fillId="0" borderId="1" xfId="2" applyFont="1" applyBorder="1" applyAlignment="1" applyProtection="1">
      <alignment horizontal="center" vertical="center" shrinkToFit="1"/>
      <protection hidden="1"/>
    </xf>
    <xf numFmtId="0" fontId="11" fillId="0" borderId="1" xfId="0" applyFont="1" applyBorder="1" applyAlignment="1" applyProtection="1">
      <alignment horizontal="center" vertical="center" shrinkToFit="1"/>
      <protection hidden="1"/>
    </xf>
    <xf numFmtId="49" fontId="11" fillId="4" borderId="21" xfId="0" applyNumberFormat="1" applyFont="1" applyFill="1" applyBorder="1" applyAlignment="1" applyProtection="1">
      <alignment horizontal="center" vertical="center" shrinkToFit="1"/>
      <protection hidden="1"/>
    </xf>
    <xf numFmtId="0" fontId="4" fillId="0" borderId="0" xfId="0" applyFont="1" applyAlignment="1" applyProtection="1">
      <alignment horizontal="centerContinuous" vertical="center" wrapText="1"/>
      <protection hidden="1"/>
    </xf>
    <xf numFmtId="0" fontId="11" fillId="0" borderId="0" xfId="0" applyFont="1" applyAlignment="1" applyProtection="1">
      <alignment horizontal="centerContinuous" vertical="center"/>
      <protection hidden="1"/>
    </xf>
    <xf numFmtId="0" fontId="11" fillId="0" borderId="19" xfId="0" applyFont="1" applyBorder="1" applyAlignment="1" applyProtection="1">
      <alignment horizontal="centerContinuous" vertical="center"/>
      <protection hidden="1"/>
    </xf>
    <xf numFmtId="0" fontId="24" fillId="14" borderId="2" xfId="0" applyFont="1" applyFill="1" applyBorder="1" applyAlignment="1" applyProtection="1">
      <alignment horizontal="center" vertical="center" wrapText="1" shrinkToFit="1"/>
      <protection hidden="1"/>
    </xf>
    <xf numFmtId="180" fontId="53" fillId="14" borderId="0" xfId="0" applyNumberFormat="1" applyFont="1" applyFill="1" applyAlignment="1" applyProtection="1">
      <alignment horizontal="right" vertical="center"/>
      <protection hidden="1"/>
    </xf>
    <xf numFmtId="0" fontId="11" fillId="3" borderId="1" xfId="0" applyFont="1" applyFill="1" applyBorder="1" applyAlignment="1" applyProtection="1">
      <alignment horizontal="center" vertical="center" shrinkToFit="1"/>
      <protection hidden="1"/>
    </xf>
    <xf numFmtId="0" fontId="10" fillId="0" borderId="0" xfId="0" applyFont="1" applyAlignment="1" applyProtection="1">
      <alignment horizontal="center" vertical="center" shrinkToFit="1"/>
      <protection hidden="1"/>
    </xf>
    <xf numFmtId="0" fontId="33" fillId="0" borderId="2" xfId="0" applyFont="1" applyBorder="1" applyAlignment="1" applyProtection="1">
      <alignment horizontal="center" vertical="center" shrinkToFit="1"/>
      <protection hidden="1"/>
    </xf>
    <xf numFmtId="0" fontId="21" fillId="0" borderId="0" xfId="0" applyFont="1" applyAlignment="1" applyProtection="1">
      <alignment vertical="center" shrinkToFit="1"/>
      <protection hidden="1"/>
    </xf>
    <xf numFmtId="183" fontId="10" fillId="6" borderId="21" xfId="0" applyNumberFormat="1" applyFont="1" applyFill="1" applyBorder="1" applyAlignment="1" applyProtection="1">
      <alignment horizontal="right" vertical="center" shrinkToFit="1"/>
      <protection hidden="1"/>
    </xf>
    <xf numFmtId="0" fontId="44" fillId="0" borderId="0" xfId="1" applyFont="1" applyAlignment="1" applyProtection="1">
      <alignment vertical="center" shrinkToFit="1"/>
      <protection hidden="1"/>
    </xf>
    <xf numFmtId="0" fontId="11" fillId="0" borderId="0" xfId="0" applyFont="1" applyAlignment="1" applyProtection="1">
      <alignment vertical="center" wrapText="1" shrinkToFit="1"/>
      <protection hidden="1"/>
    </xf>
    <xf numFmtId="0" fontId="53" fillId="14" borderId="0" xfId="0" applyFont="1" applyFill="1" applyAlignment="1" applyProtection="1">
      <alignment vertical="center"/>
      <protection hidden="1"/>
    </xf>
    <xf numFmtId="190" fontId="10" fillId="3" borderId="0" xfId="0" applyNumberFormat="1" applyFont="1" applyFill="1" applyAlignment="1" applyProtection="1">
      <alignment horizontal="left" vertical="center" shrinkToFit="1"/>
      <protection hidden="1"/>
    </xf>
    <xf numFmtId="180" fontId="10" fillId="6" borderId="21" xfId="0" applyNumberFormat="1" applyFont="1" applyFill="1" applyBorder="1" applyAlignment="1" applyProtection="1">
      <alignment horizontal="right" vertical="center" shrinkToFit="1"/>
      <protection hidden="1"/>
    </xf>
    <xf numFmtId="0" fontId="53" fillId="14" borderId="0" xfId="0" applyFont="1" applyFill="1" applyAlignment="1" applyProtection="1">
      <alignment horizontal="right" vertical="center" shrinkToFit="1"/>
      <protection hidden="1"/>
    </xf>
    <xf numFmtId="0" fontId="5" fillId="3" borderId="0" xfId="0" applyFont="1" applyFill="1" applyAlignment="1" applyProtection="1">
      <alignment horizontal="center" vertical="center" shrinkToFit="1"/>
      <protection hidden="1"/>
    </xf>
    <xf numFmtId="0" fontId="5" fillId="5" borderId="0" xfId="0" applyFont="1" applyFill="1" applyAlignment="1" applyProtection="1">
      <alignment vertical="center" shrinkToFit="1"/>
      <protection hidden="1"/>
    </xf>
    <xf numFmtId="0" fontId="11" fillId="5" borderId="0" xfId="0" applyFont="1" applyFill="1" applyAlignment="1" applyProtection="1">
      <alignment vertical="center"/>
      <protection hidden="1"/>
    </xf>
    <xf numFmtId="38" fontId="11" fillId="0" borderId="0" xfId="2" applyFont="1" applyBorder="1" applyAlignment="1" applyProtection="1">
      <alignment horizontal="right" vertical="center" shrinkToFit="1"/>
      <protection hidden="1"/>
    </xf>
    <xf numFmtId="179" fontId="39" fillId="0" borderId="0" xfId="1" applyNumberFormat="1" applyFont="1" applyAlignment="1" applyProtection="1">
      <alignment horizontal="center" vertical="center" shrinkToFit="1"/>
      <protection hidden="1"/>
    </xf>
    <xf numFmtId="38" fontId="53" fillId="14" borderId="0" xfId="2" applyFont="1" applyFill="1" applyBorder="1" applyAlignment="1" applyProtection="1">
      <alignment vertical="center"/>
      <protection hidden="1"/>
    </xf>
    <xf numFmtId="38" fontId="10" fillId="0" borderId="0" xfId="2" applyFont="1" applyAlignment="1" applyProtection="1">
      <alignment horizontal="right" vertical="center" shrinkToFit="1"/>
      <protection hidden="1"/>
    </xf>
    <xf numFmtId="0" fontId="11" fillId="0" borderId="17" xfId="0" applyFont="1" applyBorder="1" applyAlignment="1" applyProtection="1">
      <alignment vertical="center" shrinkToFit="1"/>
      <protection hidden="1"/>
    </xf>
    <xf numFmtId="0" fontId="11" fillId="5" borderId="19" xfId="0" applyFont="1" applyFill="1" applyBorder="1" applyAlignment="1" applyProtection="1">
      <alignment vertical="center" shrinkToFit="1"/>
      <protection hidden="1"/>
    </xf>
    <xf numFmtId="14" fontId="53" fillId="14" borderId="0" xfId="0" applyNumberFormat="1" applyFont="1" applyFill="1" applyAlignment="1" applyProtection="1">
      <alignment vertical="center" shrinkToFit="1"/>
      <protection hidden="1"/>
    </xf>
    <xf numFmtId="14" fontId="53" fillId="14" borderId="0" xfId="0" applyNumberFormat="1" applyFont="1" applyFill="1" applyAlignment="1" applyProtection="1">
      <alignment horizontal="right" vertical="center" shrinkToFit="1"/>
      <protection hidden="1"/>
    </xf>
    <xf numFmtId="0" fontId="11" fillId="0" borderId="1" xfId="0" applyFont="1" applyBorder="1" applyAlignment="1" applyProtection="1">
      <alignment vertical="center" shrinkToFit="1"/>
      <protection hidden="1"/>
    </xf>
    <xf numFmtId="38" fontId="11" fillId="3" borderId="1" xfId="2" applyFont="1" applyFill="1" applyBorder="1" applyAlignment="1" applyProtection="1">
      <alignment vertical="center" shrinkToFit="1"/>
      <protection hidden="1"/>
    </xf>
    <xf numFmtId="0" fontId="11" fillId="5" borderId="0" xfId="0" applyFont="1" applyFill="1" applyAlignment="1" applyProtection="1">
      <alignment vertical="center" shrinkToFit="1"/>
      <protection hidden="1"/>
    </xf>
    <xf numFmtId="38" fontId="11" fillId="0" borderId="1" xfId="2" applyFont="1" applyBorder="1" applyAlignment="1" applyProtection="1">
      <alignment vertical="center" shrinkToFit="1"/>
      <protection hidden="1"/>
    </xf>
    <xf numFmtId="181" fontId="11" fillId="3" borderId="1" xfId="2" applyNumberFormat="1" applyFont="1" applyFill="1" applyBorder="1" applyAlignment="1" applyProtection="1">
      <alignment vertical="center" shrinkToFit="1"/>
      <protection hidden="1"/>
    </xf>
    <xf numFmtId="38" fontId="11" fillId="0" borderId="1" xfId="2" applyFont="1" applyBorder="1" applyAlignment="1" applyProtection="1">
      <alignment horizontal="right" vertical="center" shrinkToFit="1"/>
      <protection hidden="1"/>
    </xf>
    <xf numFmtId="0" fontId="11" fillId="3" borderId="1" xfId="0" applyFont="1" applyFill="1" applyBorder="1" applyAlignment="1" applyProtection="1">
      <alignment vertical="center" shrinkToFit="1"/>
      <protection hidden="1"/>
    </xf>
    <xf numFmtId="185" fontId="11" fillId="3" borderId="0" xfId="2" applyNumberFormat="1" applyFont="1" applyFill="1" applyAlignment="1" applyProtection="1">
      <alignment vertical="center"/>
      <protection hidden="1"/>
    </xf>
    <xf numFmtId="181" fontId="11" fillId="14" borderId="1" xfId="2" applyNumberFormat="1" applyFont="1" applyFill="1" applyBorder="1" applyAlignment="1" applyProtection="1">
      <alignment vertical="center" shrinkToFit="1"/>
      <protection hidden="1"/>
    </xf>
    <xf numFmtId="0" fontId="11" fillId="3" borderId="1" xfId="0" applyFont="1" applyFill="1" applyBorder="1" applyAlignment="1" applyProtection="1">
      <alignment horizontal="right" vertical="center" shrinkToFit="1"/>
      <protection hidden="1"/>
    </xf>
    <xf numFmtId="38" fontId="25" fillId="3" borderId="0" xfId="2" applyFont="1" applyFill="1" applyAlignment="1" applyProtection="1">
      <alignment vertical="center"/>
      <protection hidden="1"/>
    </xf>
    <xf numFmtId="0" fontId="5" fillId="0" borderId="0" xfId="0" applyFont="1" applyAlignment="1" applyProtection="1">
      <alignment horizontal="center" vertical="center" shrinkToFit="1"/>
      <protection hidden="1"/>
    </xf>
    <xf numFmtId="0" fontId="44" fillId="3" borderId="0" xfId="1" applyFont="1" applyFill="1" applyAlignment="1" applyProtection="1">
      <alignment vertical="center" shrinkToFit="1"/>
      <protection hidden="1"/>
    </xf>
    <xf numFmtId="38" fontId="53" fillId="14" borderId="0" xfId="2" applyFont="1" applyFill="1" applyBorder="1" applyAlignment="1" applyProtection="1">
      <alignment horizontal="right" vertical="center"/>
      <protection hidden="1"/>
    </xf>
    <xf numFmtId="0" fontId="11" fillId="0" borderId="1" xfId="0" applyFont="1" applyBorder="1" applyAlignment="1" applyProtection="1">
      <alignment horizontal="right" vertical="center" shrinkToFit="1"/>
      <protection hidden="1"/>
    </xf>
    <xf numFmtId="0" fontId="39" fillId="3" borderId="0" xfId="1" applyFont="1" applyFill="1" applyAlignment="1" applyProtection="1">
      <alignment vertical="center" shrinkToFit="1"/>
      <protection hidden="1"/>
    </xf>
    <xf numFmtId="38" fontId="53" fillId="14" borderId="0" xfId="0" applyNumberFormat="1" applyFont="1" applyFill="1" applyAlignment="1" applyProtection="1">
      <alignment horizontal="right" vertical="center"/>
      <protection hidden="1"/>
    </xf>
    <xf numFmtId="0" fontId="11" fillId="6" borderId="2" xfId="0" applyFont="1" applyFill="1" applyBorder="1" applyAlignment="1" applyProtection="1">
      <alignment horizontal="center" vertical="center" shrinkToFit="1"/>
      <protection hidden="1"/>
    </xf>
    <xf numFmtId="189" fontId="11" fillId="12" borderId="2" xfId="0" applyNumberFormat="1" applyFont="1" applyFill="1" applyBorder="1" applyAlignment="1" applyProtection="1">
      <alignment horizontal="right" vertical="center" shrinkToFit="1"/>
      <protection hidden="1"/>
    </xf>
    <xf numFmtId="183" fontId="55" fillId="14" borderId="0" xfId="0" applyNumberFormat="1" applyFont="1" applyFill="1" applyAlignment="1" applyProtection="1">
      <alignment vertical="center" shrinkToFit="1"/>
      <protection hidden="1"/>
    </xf>
    <xf numFmtId="183" fontId="55" fillId="14" borderId="0" xfId="0" applyNumberFormat="1" applyFont="1" applyFill="1" applyAlignment="1" applyProtection="1">
      <alignment horizontal="right" vertical="center" shrinkToFit="1"/>
      <protection hidden="1"/>
    </xf>
    <xf numFmtId="185" fontId="11" fillId="3" borderId="0" xfId="0" applyNumberFormat="1" applyFont="1" applyFill="1" applyAlignment="1" applyProtection="1">
      <alignment vertical="center"/>
      <protection hidden="1"/>
    </xf>
    <xf numFmtId="180" fontId="11" fillId="12" borderId="2" xfId="0" applyNumberFormat="1" applyFont="1" applyFill="1" applyBorder="1" applyAlignment="1" applyProtection="1">
      <alignment horizontal="right" vertical="center" shrinkToFit="1"/>
      <protection hidden="1"/>
    </xf>
    <xf numFmtId="38" fontId="53" fillId="14" borderId="0" xfId="2" applyFont="1" applyFill="1" applyAlignment="1" applyProtection="1">
      <alignment horizontal="center" vertical="center" shrinkToFit="1"/>
      <protection hidden="1"/>
    </xf>
    <xf numFmtId="190" fontId="11" fillId="3" borderId="0" xfId="0" applyNumberFormat="1" applyFont="1" applyFill="1" applyAlignment="1" applyProtection="1">
      <alignment horizontal="left" vertical="center" shrinkToFit="1"/>
      <protection hidden="1"/>
    </xf>
    <xf numFmtId="0" fontId="11" fillId="12" borderId="2" xfId="0" applyFont="1" applyFill="1" applyBorder="1" applyAlignment="1" applyProtection="1">
      <alignment horizontal="right" vertical="center" shrinkToFit="1"/>
      <protection hidden="1"/>
    </xf>
    <xf numFmtId="38" fontId="55" fillId="14" borderId="0" xfId="2" applyFont="1" applyFill="1" applyAlignment="1" applyProtection="1">
      <alignment vertical="center" shrinkToFit="1"/>
      <protection hidden="1"/>
    </xf>
    <xf numFmtId="0" fontId="53" fillId="14" borderId="0" xfId="0" applyFont="1" applyFill="1" applyAlignment="1" applyProtection="1">
      <alignment horizontal="center" vertical="center"/>
      <protection hidden="1"/>
    </xf>
    <xf numFmtId="38" fontId="11" fillId="0" borderId="0" xfId="2" applyFont="1" applyBorder="1" applyAlignment="1" applyProtection="1">
      <alignment vertical="center" shrinkToFit="1"/>
      <protection hidden="1"/>
    </xf>
    <xf numFmtId="38" fontId="11" fillId="3" borderId="0" xfId="2" applyFont="1" applyFill="1" applyBorder="1" applyAlignment="1" applyProtection="1">
      <alignment vertical="center" shrinkToFit="1"/>
      <protection hidden="1"/>
    </xf>
    <xf numFmtId="14" fontId="11" fillId="12" borderId="2" xfId="0" applyNumberFormat="1" applyFont="1" applyFill="1" applyBorder="1" applyAlignment="1" applyProtection="1">
      <alignment horizontal="right" vertical="center" shrinkToFit="1"/>
      <protection hidden="1"/>
    </xf>
    <xf numFmtId="183" fontId="11" fillId="12" borderId="2" xfId="0" applyNumberFormat="1" applyFont="1" applyFill="1" applyBorder="1" applyAlignment="1" applyProtection="1">
      <alignment horizontal="right" vertical="center" shrinkToFit="1"/>
      <protection hidden="1"/>
    </xf>
    <xf numFmtId="38" fontId="11" fillId="3" borderId="1" xfId="2" applyFont="1" applyFill="1" applyBorder="1" applyAlignment="1" applyProtection="1">
      <alignment horizontal="center" vertical="center" shrinkToFit="1"/>
      <protection hidden="1"/>
    </xf>
    <xf numFmtId="38" fontId="11" fillId="14" borderId="1" xfId="2" applyFont="1" applyFill="1" applyBorder="1" applyAlignment="1" applyProtection="1">
      <alignment vertical="center" shrinkToFit="1"/>
      <protection hidden="1"/>
    </xf>
    <xf numFmtId="14" fontId="11" fillId="15" borderId="2" xfId="0" applyNumberFormat="1" applyFont="1" applyFill="1" applyBorder="1" applyAlignment="1" applyProtection="1">
      <alignment horizontal="right" vertical="center" shrinkToFit="1"/>
      <protection hidden="1"/>
    </xf>
    <xf numFmtId="202" fontId="11" fillId="15" borderId="2" xfId="0" applyNumberFormat="1" applyFont="1" applyFill="1" applyBorder="1" applyAlignment="1" applyProtection="1">
      <alignment horizontal="right" vertical="center" shrinkToFit="1"/>
      <protection hidden="1"/>
    </xf>
    <xf numFmtId="0" fontId="11" fillId="0" borderId="1" xfId="0" applyFont="1" applyBorder="1" applyAlignment="1" applyProtection="1">
      <alignment horizontal="left" vertical="center" shrinkToFit="1"/>
      <protection hidden="1"/>
    </xf>
    <xf numFmtId="0" fontId="11" fillId="15" borderId="2" xfId="0" applyFont="1" applyFill="1" applyBorder="1" applyAlignment="1" applyProtection="1">
      <alignment horizontal="center" vertical="center" shrinkToFit="1"/>
      <protection hidden="1"/>
    </xf>
    <xf numFmtId="181" fontId="53" fillId="14" borderId="0" xfId="2" applyNumberFormat="1" applyFont="1" applyFill="1" applyBorder="1" applyAlignment="1" applyProtection="1">
      <alignment horizontal="right" vertical="center"/>
      <protection hidden="1"/>
    </xf>
    <xf numFmtId="38" fontId="55" fillId="14" borderId="0" xfId="0" applyNumberFormat="1" applyFont="1" applyFill="1" applyAlignment="1" applyProtection="1">
      <alignment vertical="center" shrinkToFit="1"/>
      <protection hidden="1"/>
    </xf>
    <xf numFmtId="0" fontId="11" fillId="12" borderId="2" xfId="0" applyFont="1" applyFill="1" applyBorder="1" applyAlignment="1" applyProtection="1">
      <alignment horizontal="center" vertical="center" shrinkToFit="1"/>
      <protection hidden="1"/>
    </xf>
    <xf numFmtId="38" fontId="11" fillId="6" borderId="2" xfId="2" applyFont="1" applyFill="1" applyBorder="1" applyAlignment="1" applyProtection="1">
      <alignment vertical="center" shrinkToFit="1"/>
      <protection hidden="1"/>
    </xf>
    <xf numFmtId="0" fontId="11" fillId="3" borderId="0" xfId="0" applyFont="1" applyFill="1" applyAlignment="1" applyProtection="1">
      <alignment horizontal="center" vertical="center" shrinkToFit="1"/>
      <protection hidden="1"/>
    </xf>
    <xf numFmtId="38" fontId="11" fillId="6" borderId="2" xfId="2" applyFont="1" applyFill="1" applyBorder="1" applyAlignment="1" applyProtection="1">
      <alignment horizontal="right" vertical="center" shrinkToFit="1"/>
      <protection hidden="1"/>
    </xf>
    <xf numFmtId="38" fontId="11" fillId="0" borderId="0" xfId="2" applyFont="1" applyAlignment="1" applyProtection="1">
      <alignment horizontal="right" vertical="center" shrinkToFit="1"/>
      <protection hidden="1"/>
    </xf>
    <xf numFmtId="38" fontId="11" fillId="6" borderId="2" xfId="0" applyNumberFormat="1" applyFont="1" applyFill="1" applyBorder="1" applyAlignment="1" applyProtection="1">
      <alignment horizontal="right" vertical="center" shrinkToFit="1"/>
      <protection hidden="1"/>
    </xf>
    <xf numFmtId="38" fontId="11" fillId="3" borderId="1" xfId="2" applyFont="1" applyFill="1" applyBorder="1" applyAlignment="1" applyProtection="1">
      <alignment horizontal="right" vertical="center" shrinkToFit="1"/>
      <protection hidden="1"/>
    </xf>
    <xf numFmtId="38" fontId="11" fillId="7" borderId="2" xfId="0" applyNumberFormat="1" applyFont="1" applyFill="1" applyBorder="1" applyAlignment="1" applyProtection="1">
      <alignment horizontal="right" vertical="center" shrinkToFit="1"/>
      <protection hidden="1"/>
    </xf>
    <xf numFmtId="0" fontId="11" fillId="14" borderId="0" xfId="0" applyFont="1" applyFill="1" applyAlignment="1" applyProtection="1">
      <alignment vertical="center" shrinkToFit="1"/>
      <protection hidden="1"/>
    </xf>
    <xf numFmtId="0" fontId="11" fillId="14" borderId="0" xfId="0" applyFont="1" applyFill="1" applyAlignment="1" applyProtection="1">
      <alignment horizontal="center" vertical="center" shrinkToFit="1"/>
      <protection hidden="1"/>
    </xf>
    <xf numFmtId="0" fontId="11" fillId="14" borderId="0" xfId="0" applyFont="1" applyFill="1" applyAlignment="1" applyProtection="1">
      <alignment horizontal="right" vertical="center" shrinkToFit="1"/>
      <protection hidden="1"/>
    </xf>
    <xf numFmtId="177" fontId="11" fillId="14" borderId="0" xfId="0" applyNumberFormat="1" applyFont="1" applyFill="1" applyAlignment="1" applyProtection="1">
      <alignment vertical="center" shrinkToFit="1"/>
      <protection hidden="1"/>
    </xf>
    <xf numFmtId="181" fontId="43" fillId="15" borderId="2" xfId="2" applyNumberFormat="1" applyFont="1" applyFill="1" applyBorder="1" applyAlignment="1" applyProtection="1">
      <alignment horizontal="right" vertical="center" shrinkToFit="1"/>
      <protection hidden="1"/>
    </xf>
    <xf numFmtId="0" fontId="11" fillId="14" borderId="0" xfId="0" applyFont="1" applyFill="1" applyAlignment="1" applyProtection="1">
      <alignment vertical="center"/>
      <protection hidden="1"/>
    </xf>
    <xf numFmtId="181" fontId="11" fillId="15" borderId="2" xfId="2" applyNumberFormat="1" applyFont="1" applyFill="1" applyBorder="1" applyAlignment="1" applyProtection="1">
      <alignment horizontal="right" vertical="center" shrinkToFit="1"/>
      <protection hidden="1"/>
    </xf>
    <xf numFmtId="38" fontId="11" fillId="15" borderId="2" xfId="0" applyNumberFormat="1" applyFont="1" applyFill="1" applyBorder="1" applyAlignment="1" applyProtection="1">
      <alignment horizontal="right" vertical="center" shrinkToFit="1"/>
      <protection hidden="1"/>
    </xf>
    <xf numFmtId="38" fontId="11" fillId="15" borderId="2" xfId="2" applyFont="1" applyFill="1" applyBorder="1" applyAlignment="1" applyProtection="1">
      <alignment horizontal="right" vertical="center" shrinkToFit="1"/>
      <protection hidden="1"/>
    </xf>
    <xf numFmtId="38" fontId="11" fillId="14" borderId="0" xfId="2" applyFont="1" applyFill="1" applyAlignment="1" applyProtection="1">
      <alignment vertical="center" shrinkToFit="1"/>
      <protection hidden="1"/>
    </xf>
    <xf numFmtId="38" fontId="11" fillId="14" borderId="0" xfId="2" applyFont="1" applyFill="1" applyAlignment="1" applyProtection="1">
      <alignment horizontal="right" vertical="center" shrinkToFit="1"/>
      <protection hidden="1"/>
    </xf>
    <xf numFmtId="0" fontId="11" fillId="14" borderId="1" xfId="0" applyFont="1" applyFill="1" applyBorder="1" applyAlignment="1" applyProtection="1">
      <alignment horizontal="center" vertical="center" shrinkToFit="1"/>
      <protection hidden="1"/>
    </xf>
    <xf numFmtId="38" fontId="11" fillId="14" borderId="1" xfId="2" applyFont="1" applyFill="1" applyBorder="1" applyAlignment="1" applyProtection="1">
      <alignment horizontal="center" vertical="center" shrinkToFit="1"/>
      <protection hidden="1"/>
    </xf>
    <xf numFmtId="38" fontId="11" fillId="14" borderId="1" xfId="2" applyFont="1" applyFill="1" applyBorder="1" applyAlignment="1" applyProtection="1">
      <alignment horizontal="right" vertical="center" shrinkToFit="1"/>
      <protection hidden="1"/>
    </xf>
    <xf numFmtId="38" fontId="53" fillId="14" borderId="0" xfId="0" applyNumberFormat="1" applyFont="1" applyFill="1" applyAlignment="1" applyProtection="1">
      <alignment vertical="center" shrinkToFit="1"/>
      <protection hidden="1"/>
    </xf>
    <xf numFmtId="0" fontId="11" fillId="0" borderId="0" xfId="0" applyFont="1" applyAlignment="1" applyProtection="1">
      <alignment horizontal="left" vertical="center" shrinkToFit="1"/>
      <protection hidden="1"/>
    </xf>
    <xf numFmtId="190" fontId="11" fillId="5" borderId="0" xfId="0" applyNumberFormat="1" applyFont="1" applyFill="1" applyAlignment="1" applyProtection="1">
      <alignment horizontal="left" vertical="center" shrinkToFit="1"/>
      <protection hidden="1"/>
    </xf>
    <xf numFmtId="181" fontId="43" fillId="8" borderId="2" xfId="2" applyNumberFormat="1" applyFont="1" applyFill="1" applyBorder="1" applyAlignment="1" applyProtection="1">
      <alignment horizontal="right" vertical="center" shrinkToFit="1"/>
      <protection hidden="1"/>
    </xf>
    <xf numFmtId="181" fontId="11" fillId="9" borderId="2" xfId="2" applyNumberFormat="1" applyFont="1" applyFill="1" applyBorder="1" applyAlignment="1" applyProtection="1">
      <alignment horizontal="right" vertical="center" shrinkToFit="1"/>
      <protection hidden="1"/>
    </xf>
    <xf numFmtId="181" fontId="11" fillId="8" borderId="2" xfId="2" applyNumberFormat="1" applyFont="1" applyFill="1" applyBorder="1" applyAlignment="1" applyProtection="1">
      <alignment horizontal="right" vertical="center" shrinkToFit="1"/>
      <protection hidden="1"/>
    </xf>
    <xf numFmtId="192" fontId="11" fillId="2" borderId="0" xfId="0" applyNumberFormat="1" applyFont="1" applyFill="1" applyAlignment="1" applyProtection="1">
      <alignment horizontal="right" vertical="center" shrinkToFit="1"/>
      <protection hidden="1"/>
    </xf>
    <xf numFmtId="192" fontId="11" fillId="3" borderId="0" xfId="0" applyNumberFormat="1" applyFont="1" applyFill="1" applyAlignment="1" applyProtection="1">
      <alignment horizontal="right" vertical="center" shrinkToFit="1"/>
      <protection hidden="1"/>
    </xf>
    <xf numFmtId="0" fontId="11" fillId="3" borderId="3" xfId="0" applyFont="1" applyFill="1" applyBorder="1" applyAlignment="1" applyProtection="1">
      <alignment horizontal="center" vertical="center" shrinkToFit="1"/>
      <protection hidden="1"/>
    </xf>
    <xf numFmtId="0" fontId="11" fillId="3" borderId="18" xfId="0" applyFont="1" applyFill="1" applyBorder="1" applyAlignment="1" applyProtection="1">
      <alignment horizontal="center" vertical="center" shrinkToFit="1"/>
      <protection hidden="1"/>
    </xf>
    <xf numFmtId="0" fontId="11" fillId="3" borderId="4" xfId="0" applyFont="1" applyFill="1" applyBorder="1" applyAlignment="1" applyProtection="1">
      <alignment horizontal="center" vertical="center" shrinkToFit="1"/>
      <protection hidden="1"/>
    </xf>
    <xf numFmtId="38" fontId="11" fillId="3" borderId="0" xfId="2" applyFont="1" applyFill="1" applyAlignment="1" applyProtection="1">
      <alignment vertical="center" shrinkToFit="1"/>
      <protection hidden="1"/>
    </xf>
    <xf numFmtId="10" fontId="11" fillId="0" borderId="1" xfId="0" applyNumberFormat="1" applyFont="1" applyBorder="1" applyAlignment="1" applyProtection="1">
      <alignment horizontal="right" vertical="center" shrinkToFit="1"/>
      <protection hidden="1"/>
    </xf>
    <xf numFmtId="10" fontId="11" fillId="0" borderId="4" xfId="0" applyNumberFormat="1" applyFont="1" applyBorder="1" applyAlignment="1" applyProtection="1">
      <alignment horizontal="right" vertical="center" shrinkToFit="1"/>
      <protection hidden="1"/>
    </xf>
    <xf numFmtId="38" fontId="11" fillId="12" borderId="2" xfId="2" applyFont="1" applyFill="1" applyBorder="1" applyAlignment="1" applyProtection="1">
      <alignment horizontal="right" vertical="center" shrinkToFit="1"/>
      <protection hidden="1"/>
    </xf>
    <xf numFmtId="0" fontId="11" fillId="14" borderId="3" xfId="0" applyFont="1" applyFill="1" applyBorder="1" applyAlignment="1" applyProtection="1">
      <alignment horizontal="center" vertical="center" shrinkToFit="1"/>
      <protection hidden="1"/>
    </xf>
    <xf numFmtId="0" fontId="11" fillId="14" borderId="4" xfId="0" applyFont="1" applyFill="1" applyBorder="1" applyAlignment="1" applyProtection="1">
      <alignment horizontal="center" vertical="center" shrinkToFit="1"/>
      <protection hidden="1"/>
    </xf>
    <xf numFmtId="0" fontId="38" fillId="3" borderId="0" xfId="0" applyFont="1" applyFill="1" applyAlignment="1" applyProtection="1">
      <alignment horizontal="right" vertical="center" shrinkToFit="1"/>
      <protection hidden="1"/>
    </xf>
    <xf numFmtId="0" fontId="40" fillId="3" borderId="0" xfId="0" applyFont="1" applyFill="1" applyAlignment="1" applyProtection="1">
      <alignment horizontal="right" vertical="center" shrinkToFit="1"/>
      <protection hidden="1"/>
    </xf>
    <xf numFmtId="182" fontId="11" fillId="14" borderId="3" xfId="0" applyNumberFormat="1" applyFont="1" applyFill="1" applyBorder="1" applyAlignment="1" applyProtection="1">
      <alignment horizontal="right" vertical="center" shrinkToFit="1"/>
      <protection hidden="1"/>
    </xf>
    <xf numFmtId="182" fontId="11" fillId="14" borderId="4" xfId="0" applyNumberFormat="1" applyFont="1" applyFill="1" applyBorder="1" applyAlignment="1" applyProtection="1">
      <alignment horizontal="right" vertical="center" shrinkToFit="1"/>
      <protection hidden="1"/>
    </xf>
    <xf numFmtId="0" fontId="11" fillId="6" borderId="2" xfId="0" applyFont="1" applyFill="1" applyBorder="1" applyAlignment="1" applyProtection="1">
      <alignment horizontal="right" vertical="center" shrinkToFit="1"/>
      <protection hidden="1"/>
    </xf>
    <xf numFmtId="0" fontId="55" fillId="14" borderId="0" xfId="0" applyFont="1" applyFill="1" applyAlignment="1" applyProtection="1">
      <alignment vertical="center" shrinkToFit="1"/>
      <protection hidden="1"/>
    </xf>
    <xf numFmtId="182" fontId="11" fillId="0" borderId="3" xfId="0" applyNumberFormat="1" applyFont="1" applyBorder="1" applyAlignment="1" applyProtection="1">
      <alignment horizontal="right" vertical="center" shrinkToFit="1"/>
      <protection hidden="1"/>
    </xf>
    <xf numFmtId="182" fontId="11" fillId="0" borderId="4" xfId="0" applyNumberFormat="1" applyFont="1" applyBorder="1" applyAlignment="1" applyProtection="1">
      <alignment horizontal="right" vertical="center" shrinkToFit="1"/>
      <protection hidden="1"/>
    </xf>
    <xf numFmtId="0" fontId="11" fillId="3" borderId="16" xfId="0" applyFont="1" applyFill="1" applyBorder="1" applyAlignment="1" applyProtection="1">
      <alignment horizontal="center" vertical="center" shrinkToFit="1"/>
      <protection hidden="1"/>
    </xf>
    <xf numFmtId="192" fontId="11" fillId="3" borderId="5" xfId="0" applyNumberFormat="1" applyFont="1" applyFill="1" applyBorder="1" applyAlignment="1" applyProtection="1">
      <alignment horizontal="center" vertical="center" shrinkToFit="1"/>
      <protection hidden="1"/>
    </xf>
    <xf numFmtId="0" fontId="11" fillId="3" borderId="11" xfId="0" applyFont="1" applyFill="1" applyBorder="1" applyAlignment="1" applyProtection="1">
      <alignment horizontal="center" vertical="center" shrinkToFit="1"/>
      <protection hidden="1"/>
    </xf>
    <xf numFmtId="0" fontId="11" fillId="3" borderId="6" xfId="0" applyFont="1" applyFill="1" applyBorder="1" applyAlignment="1" applyProtection="1">
      <alignment horizontal="center" vertical="center" shrinkToFit="1"/>
      <protection hidden="1"/>
    </xf>
    <xf numFmtId="10" fontId="11" fillId="3" borderId="6" xfId="0" applyNumberFormat="1" applyFont="1" applyFill="1" applyBorder="1" applyAlignment="1" applyProtection="1">
      <alignment horizontal="right" vertical="center" shrinkToFit="1"/>
      <protection hidden="1"/>
    </xf>
    <xf numFmtId="0" fontId="11" fillId="3" borderId="2" xfId="0" applyFont="1" applyFill="1" applyBorder="1" applyAlignment="1" applyProtection="1">
      <alignment horizontal="center" vertical="center" shrinkToFit="1"/>
      <protection hidden="1"/>
    </xf>
    <xf numFmtId="38" fontId="11" fillId="3" borderId="16" xfId="2" applyFont="1" applyFill="1" applyBorder="1" applyAlignment="1" applyProtection="1">
      <alignment horizontal="right" vertical="center" shrinkToFit="1"/>
      <protection hidden="1"/>
    </xf>
    <xf numFmtId="0" fontId="40" fillId="3" borderId="0" xfId="0" applyFont="1" applyFill="1" applyAlignment="1" applyProtection="1">
      <alignment vertical="center" shrinkToFit="1"/>
      <protection hidden="1"/>
    </xf>
    <xf numFmtId="38" fontId="11" fillId="8" borderId="2" xfId="0" applyNumberFormat="1" applyFont="1" applyFill="1" applyBorder="1" applyAlignment="1" applyProtection="1">
      <alignment horizontal="right" vertical="center" shrinkToFit="1"/>
      <protection hidden="1"/>
    </xf>
    <xf numFmtId="0" fontId="11" fillId="3" borderId="12" xfId="0" applyFont="1" applyFill="1" applyBorder="1" applyAlignment="1" applyProtection="1">
      <alignment horizontal="center" vertical="center" shrinkToFit="1"/>
      <protection hidden="1"/>
    </xf>
    <xf numFmtId="0" fontId="11" fillId="3" borderId="5" xfId="0" applyFont="1" applyFill="1" applyBorder="1" applyAlignment="1" applyProtection="1">
      <alignment horizontal="center" vertical="center" shrinkToFit="1"/>
      <protection hidden="1"/>
    </xf>
    <xf numFmtId="38" fontId="11" fillId="3" borderId="5" xfId="2" applyFont="1" applyFill="1" applyBorder="1" applyAlignment="1" applyProtection="1">
      <alignment horizontal="right" vertical="center" shrinkToFit="1"/>
      <protection hidden="1"/>
    </xf>
    <xf numFmtId="0" fontId="25" fillId="0" borderId="0" xfId="0" applyFont="1" applyAlignment="1" applyProtection="1">
      <alignment vertical="center" shrinkToFit="1"/>
      <protection hidden="1"/>
    </xf>
    <xf numFmtId="184" fontId="11" fillId="3" borderId="0" xfId="0" applyNumberFormat="1" applyFont="1" applyFill="1" applyAlignment="1" applyProtection="1">
      <alignment vertical="center" shrinkToFit="1"/>
      <protection hidden="1"/>
    </xf>
    <xf numFmtId="184" fontId="10" fillId="6" borderId="2" xfId="0" applyNumberFormat="1" applyFont="1" applyFill="1" applyBorder="1" applyAlignment="1" applyProtection="1">
      <alignment vertical="center" shrinkToFit="1"/>
      <protection hidden="1"/>
    </xf>
    <xf numFmtId="0" fontId="11" fillId="3" borderId="7" xfId="0" applyFont="1" applyFill="1" applyBorder="1" applyAlignment="1" applyProtection="1">
      <alignment horizontal="center" vertical="center" shrinkToFit="1"/>
      <protection hidden="1"/>
    </xf>
    <xf numFmtId="10" fontId="11" fillId="3" borderId="7" xfId="0" applyNumberFormat="1" applyFont="1" applyFill="1" applyBorder="1" applyAlignment="1" applyProtection="1">
      <alignment horizontal="right" vertical="center" shrinkToFit="1"/>
      <protection hidden="1"/>
    </xf>
    <xf numFmtId="184" fontId="11" fillId="6" borderId="2" xfId="0" applyNumberFormat="1" applyFont="1" applyFill="1" applyBorder="1" applyAlignment="1" applyProtection="1">
      <alignment vertical="center" shrinkToFit="1"/>
      <protection hidden="1"/>
    </xf>
    <xf numFmtId="202" fontId="10" fillId="6" borderId="2" xfId="0" applyNumberFormat="1" applyFont="1" applyFill="1" applyBorder="1" applyAlignment="1" applyProtection="1">
      <alignment vertical="center" shrinkToFit="1"/>
      <protection hidden="1"/>
    </xf>
    <xf numFmtId="184" fontId="22" fillId="6" borderId="2" xfId="0" applyNumberFormat="1" applyFont="1" applyFill="1" applyBorder="1" applyAlignment="1" applyProtection="1">
      <alignment horizontal="center" vertical="center" shrinkToFit="1"/>
      <protection hidden="1"/>
    </xf>
    <xf numFmtId="202" fontId="40" fillId="6" borderId="2" xfId="0" applyNumberFormat="1" applyFont="1" applyFill="1" applyBorder="1" applyAlignment="1" applyProtection="1">
      <alignment horizontal="right" vertical="center" shrinkToFit="1"/>
      <protection hidden="1"/>
    </xf>
    <xf numFmtId="184" fontId="40" fillId="6" borderId="2" xfId="0" applyNumberFormat="1" applyFont="1" applyFill="1" applyBorder="1" applyAlignment="1" applyProtection="1">
      <alignment horizontal="right" vertical="center" shrinkToFit="1"/>
      <protection hidden="1"/>
    </xf>
    <xf numFmtId="0" fontId="25" fillId="3" borderId="0" xfId="0" applyFont="1" applyFill="1" applyAlignment="1" applyProtection="1">
      <alignment vertical="center" shrinkToFit="1"/>
      <protection hidden="1"/>
    </xf>
    <xf numFmtId="181" fontId="25" fillId="10" borderId="2" xfId="0" applyNumberFormat="1" applyFont="1" applyFill="1" applyBorder="1" applyAlignment="1" applyProtection="1">
      <alignment horizontal="right" vertical="center" shrinkToFit="1"/>
      <protection hidden="1"/>
    </xf>
    <xf numFmtId="181" fontId="25" fillId="9" borderId="2" xfId="0" applyNumberFormat="1" applyFont="1" applyFill="1" applyBorder="1" applyAlignment="1" applyProtection="1">
      <alignment horizontal="right" vertical="center" shrinkToFit="1"/>
      <protection hidden="1"/>
    </xf>
    <xf numFmtId="0" fontId="11" fillId="3" borderId="8" xfId="0" applyFont="1" applyFill="1" applyBorder="1" applyAlignment="1" applyProtection="1">
      <alignment vertical="center" shrinkToFit="1"/>
      <protection hidden="1"/>
    </xf>
    <xf numFmtId="38" fontId="11" fillId="3" borderId="7" xfId="2" applyFont="1" applyFill="1" applyBorder="1" applyAlignment="1" applyProtection="1">
      <alignment horizontal="right" vertical="center" shrinkToFit="1"/>
      <protection hidden="1"/>
    </xf>
    <xf numFmtId="38" fontId="11" fillId="3" borderId="7" xfId="2" applyFont="1" applyFill="1" applyBorder="1" applyAlignment="1" applyProtection="1">
      <alignment vertical="center" shrinkToFit="1"/>
      <protection hidden="1"/>
    </xf>
    <xf numFmtId="38" fontId="11" fillId="3" borderId="9" xfId="2" applyFont="1" applyFill="1" applyBorder="1" applyAlignment="1" applyProtection="1">
      <alignment horizontal="center" vertical="center" shrinkToFit="1"/>
      <protection hidden="1"/>
    </xf>
    <xf numFmtId="38" fontId="11" fillId="3" borderId="10" xfId="2" applyFont="1" applyFill="1" applyBorder="1" applyAlignment="1" applyProtection="1">
      <alignment vertical="center" shrinkToFit="1"/>
      <protection hidden="1"/>
    </xf>
    <xf numFmtId="187" fontId="11" fillId="3" borderId="1" xfId="2" applyNumberFormat="1" applyFont="1" applyFill="1" applyBorder="1" applyAlignment="1" applyProtection="1">
      <alignment horizontal="center" vertical="center" shrinkToFit="1"/>
      <protection hidden="1"/>
    </xf>
    <xf numFmtId="176" fontId="11" fillId="3" borderId="1" xfId="2" applyNumberFormat="1" applyFont="1" applyFill="1" applyBorder="1" applyAlignment="1" applyProtection="1">
      <alignment horizontal="center" vertical="center" shrinkToFit="1"/>
      <protection hidden="1"/>
    </xf>
    <xf numFmtId="0" fontId="11" fillId="8" borderId="2" xfId="0" applyFont="1" applyFill="1" applyBorder="1" applyAlignment="1" applyProtection="1">
      <alignment horizontal="right" vertical="center" shrinkToFit="1"/>
      <protection hidden="1"/>
    </xf>
    <xf numFmtId="38" fontId="11" fillId="8" borderId="2" xfId="2" applyFont="1" applyFill="1" applyBorder="1" applyAlignment="1" applyProtection="1">
      <alignment horizontal="right" vertical="center" shrinkToFit="1"/>
      <protection hidden="1"/>
    </xf>
    <xf numFmtId="0" fontId="22" fillId="3" borderId="0" xfId="0" applyFont="1" applyFill="1" applyAlignment="1" applyProtection="1">
      <alignment horizontal="right" vertical="center" shrinkToFit="1"/>
      <protection hidden="1"/>
    </xf>
    <xf numFmtId="0" fontId="22" fillId="3" borderId="0" xfId="0" applyFont="1" applyFill="1" applyAlignment="1" applyProtection="1">
      <alignment horizontal="center" vertical="center" shrinkToFit="1"/>
      <protection hidden="1"/>
    </xf>
    <xf numFmtId="181" fontId="25" fillId="8" borderId="2" xfId="2" applyNumberFormat="1" applyFont="1" applyFill="1" applyBorder="1" applyAlignment="1" applyProtection="1">
      <alignment horizontal="right" vertical="center" shrinkToFit="1"/>
      <protection hidden="1"/>
    </xf>
    <xf numFmtId="183" fontId="10" fillId="11" borderId="2" xfId="0" applyNumberFormat="1" applyFont="1" applyFill="1" applyBorder="1" applyAlignment="1" applyProtection="1">
      <alignment horizontal="right" vertical="center" shrinkToFit="1"/>
      <protection hidden="1"/>
    </xf>
    <xf numFmtId="183" fontId="10" fillId="5" borderId="11" xfId="0" applyNumberFormat="1" applyFont="1" applyFill="1" applyBorder="1" applyAlignment="1" applyProtection="1">
      <alignment horizontal="center" vertical="center" shrinkToFit="1"/>
      <protection hidden="1"/>
    </xf>
    <xf numFmtId="38" fontId="10" fillId="5" borderId="12" xfId="0" applyNumberFormat="1" applyFont="1" applyFill="1" applyBorder="1" applyAlignment="1" applyProtection="1">
      <alignment vertical="center" shrinkToFit="1"/>
      <protection hidden="1"/>
    </xf>
    <xf numFmtId="184" fontId="10" fillId="5" borderId="12" xfId="0" applyNumberFormat="1" applyFont="1" applyFill="1" applyBorder="1" applyAlignment="1" applyProtection="1">
      <alignment vertical="center" shrinkToFit="1"/>
      <protection hidden="1"/>
    </xf>
    <xf numFmtId="183" fontId="10" fillId="5" borderId="12" xfId="0" applyNumberFormat="1" applyFont="1" applyFill="1" applyBorder="1" applyAlignment="1" applyProtection="1">
      <alignment horizontal="right" vertical="center" shrinkToFit="1"/>
      <protection hidden="1"/>
    </xf>
    <xf numFmtId="0" fontId="11" fillId="0" borderId="0" xfId="0" applyFont="1" applyAlignment="1" applyProtection="1">
      <alignment horizontal="left" vertical="center" indent="4" shrinkToFit="1"/>
      <protection hidden="1"/>
    </xf>
    <xf numFmtId="186" fontId="6" fillId="5" borderId="13" xfId="0" applyNumberFormat="1" applyFont="1" applyFill="1" applyBorder="1" applyAlignment="1" applyProtection="1">
      <alignment horizontal="right" vertical="center" shrinkToFit="1"/>
      <protection hidden="1"/>
    </xf>
    <xf numFmtId="0" fontId="11" fillId="11" borderId="19" xfId="0" applyFont="1" applyFill="1" applyBorder="1" applyAlignment="1" applyProtection="1">
      <alignment horizontal="right" vertical="center" shrinkToFit="1"/>
      <protection hidden="1"/>
    </xf>
    <xf numFmtId="0" fontId="11" fillId="11" borderId="2" xfId="0" applyFont="1" applyFill="1" applyBorder="1" applyAlignment="1" applyProtection="1">
      <alignment horizontal="right" vertical="center" shrinkToFit="1"/>
      <protection hidden="1"/>
    </xf>
    <xf numFmtId="38" fontId="11" fillId="11" borderId="2" xfId="0" applyNumberFormat="1" applyFont="1" applyFill="1" applyBorder="1" applyAlignment="1" applyProtection="1">
      <alignment horizontal="right" vertical="center" shrinkToFit="1"/>
      <protection hidden="1"/>
    </xf>
    <xf numFmtId="183" fontId="10" fillId="11" borderId="14" xfId="0" applyNumberFormat="1" applyFont="1" applyFill="1" applyBorder="1" applyAlignment="1" applyProtection="1">
      <alignment horizontal="right" vertical="center" shrinkToFit="1"/>
      <protection hidden="1"/>
    </xf>
    <xf numFmtId="193" fontId="11" fillId="0" borderId="0" xfId="0" applyNumberFormat="1" applyFont="1" applyAlignment="1" applyProtection="1">
      <alignment horizontal="right" vertical="center" shrinkToFit="1"/>
      <protection hidden="1"/>
    </xf>
    <xf numFmtId="188" fontId="10" fillId="11" borderId="14" xfId="0" applyNumberFormat="1" applyFont="1" applyFill="1" applyBorder="1" applyAlignment="1" applyProtection="1">
      <alignment horizontal="right" vertical="center" shrinkToFit="1"/>
      <protection hidden="1"/>
    </xf>
    <xf numFmtId="184" fontId="10" fillId="11" borderId="15" xfId="0" applyNumberFormat="1" applyFont="1" applyFill="1" applyBorder="1" applyAlignment="1" applyProtection="1">
      <alignment horizontal="right" vertical="center" shrinkToFit="1"/>
      <protection hidden="1"/>
    </xf>
    <xf numFmtId="38" fontId="11" fillId="11" borderId="19" xfId="0" applyNumberFormat="1" applyFont="1" applyFill="1" applyBorder="1" applyAlignment="1" applyProtection="1">
      <alignment horizontal="right" vertical="center" shrinkToFit="1"/>
      <protection hidden="1"/>
    </xf>
    <xf numFmtId="0" fontId="25" fillId="0" borderId="0" xfId="0" applyFont="1" applyAlignment="1" applyProtection="1">
      <alignment horizontal="right" vertical="center" shrinkToFit="1"/>
      <protection hidden="1"/>
    </xf>
    <xf numFmtId="191" fontId="25" fillId="11" borderId="2" xfId="0" applyNumberFormat="1" applyFont="1" applyFill="1" applyBorder="1" applyAlignment="1" applyProtection="1">
      <alignment horizontal="right" vertical="center" shrinkToFit="1"/>
      <protection hidden="1"/>
    </xf>
    <xf numFmtId="181" fontId="53" fillId="14" borderId="0" xfId="0" applyNumberFormat="1" applyFont="1" applyFill="1" applyAlignment="1" applyProtection="1">
      <alignment vertical="center" shrinkToFit="1"/>
      <protection hidden="1"/>
    </xf>
    <xf numFmtId="0" fontId="9" fillId="14" borderId="0" xfId="0" applyFont="1" applyFill="1" applyAlignment="1" applyProtection="1">
      <alignment horizontal="right" vertical="center" shrinkToFit="1"/>
      <protection hidden="1"/>
    </xf>
    <xf numFmtId="0" fontId="10" fillId="0" borderId="0" xfId="0" applyFont="1" applyAlignment="1" applyProtection="1">
      <alignment horizontal="right" vertical="center" shrinkToFit="1"/>
      <protection hidden="1"/>
    </xf>
    <xf numFmtId="38" fontId="10" fillId="5" borderId="16" xfId="0" applyNumberFormat="1" applyFont="1" applyFill="1" applyBorder="1" applyAlignment="1" applyProtection="1">
      <alignment horizontal="right" vertical="center" shrinkToFit="1"/>
      <protection hidden="1"/>
    </xf>
    <xf numFmtId="183" fontId="10" fillId="5" borderId="2" xfId="0" applyNumberFormat="1" applyFont="1" applyFill="1" applyBorder="1" applyAlignment="1" applyProtection="1">
      <alignment horizontal="right" vertical="center" shrinkToFit="1"/>
      <protection hidden="1"/>
    </xf>
    <xf numFmtId="183" fontId="10" fillId="5" borderId="7" xfId="0" applyNumberFormat="1" applyFont="1" applyFill="1" applyBorder="1" applyAlignment="1" applyProtection="1">
      <alignment horizontal="right" vertical="center" shrinkToFit="1"/>
      <protection hidden="1"/>
    </xf>
    <xf numFmtId="177" fontId="10" fillId="11" borderId="23" xfId="0" applyNumberFormat="1" applyFont="1" applyFill="1" applyBorder="1" applyAlignment="1" applyProtection="1">
      <alignment horizontal="right" vertical="center" shrinkToFit="1"/>
      <protection hidden="1"/>
    </xf>
    <xf numFmtId="177" fontId="10" fillId="11" borderId="0" xfId="0" applyNumberFormat="1" applyFont="1" applyFill="1" applyAlignment="1" applyProtection="1">
      <alignment horizontal="right" vertical="center" shrinkToFit="1"/>
      <protection hidden="1"/>
    </xf>
    <xf numFmtId="183" fontId="10" fillId="11" borderId="0" xfId="0" applyNumberFormat="1" applyFont="1" applyFill="1" applyAlignment="1" applyProtection="1">
      <alignment horizontal="right" vertical="center" shrinkToFit="1"/>
      <protection hidden="1"/>
    </xf>
    <xf numFmtId="183" fontId="10" fillId="11" borderId="19" xfId="0" applyNumberFormat="1" applyFont="1" applyFill="1" applyBorder="1" applyAlignment="1" applyProtection="1">
      <alignment horizontal="right" vertical="center" shrinkToFit="1"/>
      <protection hidden="1"/>
    </xf>
    <xf numFmtId="0" fontId="22" fillId="0" borderId="0" xfId="0" applyFont="1" applyAlignment="1" applyProtection="1">
      <alignment horizontal="center" vertical="center" shrinkToFit="1"/>
      <protection hidden="1"/>
    </xf>
    <xf numFmtId="177" fontId="10" fillId="11" borderId="2" xfId="0" applyNumberFormat="1" applyFont="1" applyFill="1" applyBorder="1" applyAlignment="1" applyProtection="1">
      <alignment horizontal="right" vertical="center" shrinkToFit="1"/>
      <protection hidden="1"/>
    </xf>
    <xf numFmtId="0" fontId="38" fillId="0" borderId="0" xfId="0" applyFont="1" applyAlignment="1" applyProtection="1">
      <alignment horizontal="center" vertical="center" shrinkToFit="1"/>
      <protection hidden="1"/>
    </xf>
    <xf numFmtId="183" fontId="10" fillId="15" borderId="2" xfId="0" applyNumberFormat="1" applyFont="1" applyFill="1" applyBorder="1" applyAlignment="1" applyProtection="1">
      <alignment horizontal="right" vertical="center" shrinkToFit="1"/>
      <protection hidden="1"/>
    </xf>
    <xf numFmtId="0" fontId="11" fillId="15" borderId="2" xfId="0" applyFont="1" applyFill="1" applyBorder="1" applyAlignment="1" applyProtection="1">
      <alignment horizontal="right" vertical="center" shrinkToFit="1"/>
      <protection hidden="1"/>
    </xf>
    <xf numFmtId="0" fontId="55" fillId="14" borderId="0" xfId="0" applyFont="1" applyFill="1" applyAlignment="1" applyProtection="1">
      <alignment vertical="center"/>
      <protection hidden="1"/>
    </xf>
    <xf numFmtId="38" fontId="10" fillId="0" borderId="0" xfId="2" applyFont="1" applyAlignment="1" applyProtection="1">
      <alignment vertical="center" shrinkToFit="1"/>
      <protection hidden="1"/>
    </xf>
    <xf numFmtId="38" fontId="10" fillId="15" borderId="2" xfId="0" applyNumberFormat="1" applyFont="1" applyFill="1" applyBorder="1" applyAlignment="1" applyProtection="1">
      <alignment horizontal="right" vertical="center" shrinkToFit="1"/>
      <protection hidden="1"/>
    </xf>
    <xf numFmtId="38" fontId="10" fillId="15" borderId="2" xfId="2" applyFont="1" applyFill="1" applyBorder="1" applyAlignment="1" applyProtection="1">
      <alignment vertical="center" shrinkToFit="1"/>
      <protection hidden="1"/>
    </xf>
    <xf numFmtId="14" fontId="53" fillId="14" borderId="0" xfId="0" applyNumberFormat="1" applyFont="1" applyFill="1" applyAlignment="1" applyProtection="1">
      <alignment vertical="center"/>
      <protection hidden="1"/>
    </xf>
    <xf numFmtId="0" fontId="11" fillId="3" borderId="0" xfId="0" applyFont="1" applyFill="1" applyAlignment="1" applyProtection="1">
      <alignment horizontal="right" vertical="center"/>
      <protection hidden="1"/>
    </xf>
    <xf numFmtId="0" fontId="11" fillId="0" borderId="0" xfId="0" applyFont="1" applyAlignment="1" applyProtection="1">
      <alignment vertical="center"/>
      <protection hidden="1"/>
    </xf>
    <xf numFmtId="0" fontId="10" fillId="3" borderId="0" xfId="0" applyFont="1" applyFill="1" applyAlignment="1" applyProtection="1">
      <alignment vertical="center" shrinkToFit="1"/>
      <protection hidden="1"/>
    </xf>
    <xf numFmtId="0" fontId="10" fillId="3" borderId="0" xfId="0" applyFont="1" applyFill="1" applyAlignment="1" applyProtection="1">
      <alignment vertical="center"/>
      <protection hidden="1"/>
    </xf>
    <xf numFmtId="38" fontId="10" fillId="8" borderId="7" xfId="0" applyNumberFormat="1" applyFont="1" applyFill="1" applyBorder="1" applyAlignment="1" applyProtection="1">
      <alignment horizontal="right" vertical="center" shrinkToFit="1"/>
      <protection hidden="1"/>
    </xf>
    <xf numFmtId="0" fontId="30" fillId="3" borderId="0" xfId="0" applyFont="1" applyFill="1" applyAlignment="1" applyProtection="1">
      <alignment horizontal="right" vertical="center" shrinkToFit="1"/>
      <protection hidden="1"/>
    </xf>
    <xf numFmtId="0" fontId="30" fillId="0" borderId="0" xfId="0" applyFont="1" applyAlignment="1" applyProtection="1">
      <alignment vertical="center" shrinkToFit="1"/>
      <protection hidden="1"/>
    </xf>
    <xf numFmtId="178" fontId="11" fillId="0" borderId="0" xfId="0" applyNumberFormat="1" applyFont="1" applyAlignment="1" applyProtection="1">
      <alignment horizontal="justify" vertical="center" shrinkToFit="1"/>
      <protection hidden="1"/>
    </xf>
    <xf numFmtId="0" fontId="8" fillId="3" borderId="0" xfId="0" applyFont="1" applyFill="1" applyAlignment="1" applyProtection="1">
      <alignment vertical="center" shrinkToFit="1"/>
      <protection hidden="1"/>
    </xf>
    <xf numFmtId="0" fontId="8" fillId="3" borderId="0" xfId="0" applyFont="1" applyFill="1" applyAlignment="1" applyProtection="1">
      <alignment vertical="center" textRotation="255" shrinkToFit="1"/>
      <protection hidden="1"/>
    </xf>
    <xf numFmtId="0" fontId="21" fillId="3" borderId="0" xfId="0" applyFont="1" applyFill="1" applyAlignment="1" applyProtection="1">
      <alignment horizontal="right" vertical="center" shrinkToFit="1"/>
      <protection hidden="1"/>
    </xf>
    <xf numFmtId="0" fontId="41" fillId="0" borderId="0" xfId="3" applyFont="1" applyProtection="1">
      <alignment vertical="center"/>
      <protection hidden="1"/>
    </xf>
    <xf numFmtId="0" fontId="11" fillId="3" borderId="36" xfId="0" applyFont="1" applyFill="1" applyBorder="1" applyAlignment="1" applyProtection="1">
      <alignment horizontal="right" vertical="center" shrinkToFit="1"/>
      <protection hidden="1"/>
    </xf>
    <xf numFmtId="0" fontId="11" fillId="3" borderId="37" xfId="0" applyFont="1" applyFill="1" applyBorder="1" applyAlignment="1" applyProtection="1">
      <alignment horizontal="right" vertical="center" shrinkToFit="1"/>
      <protection hidden="1"/>
    </xf>
    <xf numFmtId="0" fontId="11" fillId="3" borderId="42" xfId="0" applyFont="1" applyFill="1" applyBorder="1" applyAlignment="1" applyProtection="1">
      <alignment horizontal="right" vertical="center" shrinkToFit="1"/>
      <protection hidden="1"/>
    </xf>
    <xf numFmtId="0" fontId="11" fillId="3" borderId="38" xfId="0" applyFont="1" applyFill="1" applyBorder="1" applyAlignment="1" applyProtection="1">
      <alignment horizontal="right" vertical="center" shrinkToFit="1"/>
      <protection hidden="1"/>
    </xf>
    <xf numFmtId="0" fontId="11" fillId="3" borderId="39" xfId="0" applyFont="1" applyFill="1" applyBorder="1" applyAlignment="1" applyProtection="1">
      <alignment horizontal="center" vertical="center" shrinkToFit="1"/>
      <protection hidden="1"/>
    </xf>
    <xf numFmtId="0" fontId="11" fillId="3" borderId="23" xfId="0" applyFont="1" applyFill="1" applyBorder="1" applyAlignment="1" applyProtection="1">
      <alignment horizontal="center" vertical="center" shrinkToFit="1"/>
      <protection hidden="1"/>
    </xf>
    <xf numFmtId="0" fontId="11" fillId="3" borderId="44" xfId="0" applyFont="1" applyFill="1" applyBorder="1" applyAlignment="1" applyProtection="1">
      <alignment horizontal="center" vertical="center" shrinkToFit="1"/>
      <protection hidden="1"/>
    </xf>
    <xf numFmtId="195" fontId="11" fillId="3" borderId="40" xfId="0" applyNumberFormat="1" applyFont="1" applyFill="1" applyBorder="1" applyAlignment="1" applyProtection="1">
      <alignment horizontal="right" vertical="center" shrinkToFit="1"/>
      <protection hidden="1"/>
    </xf>
    <xf numFmtId="195" fontId="11" fillId="3" borderId="41" xfId="0" applyNumberFormat="1" applyFont="1" applyFill="1" applyBorder="1" applyAlignment="1" applyProtection="1">
      <alignment horizontal="right" vertical="center" shrinkToFit="1"/>
      <protection hidden="1"/>
    </xf>
    <xf numFmtId="195" fontId="11" fillId="3" borderId="43" xfId="0" applyNumberFormat="1" applyFont="1" applyFill="1" applyBorder="1" applyAlignment="1" applyProtection="1">
      <alignment horizontal="right" vertical="center" shrinkToFit="1"/>
      <protection hidden="1"/>
    </xf>
    <xf numFmtId="195" fontId="11" fillId="3" borderId="45" xfId="0" applyNumberFormat="1" applyFont="1" applyFill="1" applyBorder="1" applyAlignment="1" applyProtection="1">
      <alignment horizontal="right" vertical="center" shrinkToFit="1"/>
      <protection hidden="1"/>
    </xf>
    <xf numFmtId="0" fontId="31" fillId="0" borderId="0" xfId="0" applyFont="1" applyAlignment="1" applyProtection="1">
      <alignment horizontal="center" vertical="center" shrinkToFit="1"/>
      <protection hidden="1"/>
    </xf>
    <xf numFmtId="179" fontId="9" fillId="14" borderId="7" xfId="0" applyNumberFormat="1" applyFont="1" applyFill="1" applyBorder="1" applyAlignment="1" applyProtection="1">
      <alignment horizontal="center" vertical="center" shrinkToFit="1"/>
      <protection hidden="1"/>
    </xf>
    <xf numFmtId="183" fontId="26" fillId="14" borderId="1" xfId="0" applyNumberFormat="1" applyFont="1" applyFill="1" applyBorder="1" applyAlignment="1" applyProtection="1">
      <alignment horizontal="center" vertical="center" shrinkToFit="1"/>
      <protection hidden="1"/>
    </xf>
    <xf numFmtId="194" fontId="11" fillId="14" borderId="1" xfId="0" applyNumberFormat="1" applyFont="1" applyFill="1" applyBorder="1" applyAlignment="1" applyProtection="1">
      <alignment horizontal="center" vertical="center" wrapText="1"/>
      <protection hidden="1"/>
    </xf>
    <xf numFmtId="0" fontId="9" fillId="0" borderId="16" xfId="0" applyFont="1" applyBorder="1" applyAlignment="1" applyProtection="1">
      <alignment horizontal="center" vertical="center" shrinkToFit="1"/>
      <protection hidden="1"/>
    </xf>
    <xf numFmtId="38" fontId="11" fillId="14" borderId="16" xfId="0" applyNumberFormat="1" applyFont="1" applyFill="1" applyBorder="1" applyAlignment="1" applyProtection="1">
      <alignment horizontal="right" vertical="center" shrinkToFit="1"/>
      <protection hidden="1"/>
    </xf>
    <xf numFmtId="0" fontId="9" fillId="0" borderId="7" xfId="0" applyFont="1" applyBorder="1" applyAlignment="1" applyProtection="1">
      <alignment horizontal="center" vertical="center" shrinkToFit="1"/>
      <protection hidden="1"/>
    </xf>
    <xf numFmtId="38" fontId="11" fillId="14" borderId="7" xfId="0" applyNumberFormat="1" applyFont="1" applyFill="1" applyBorder="1" applyAlignment="1" applyProtection="1">
      <alignment horizontal="right" vertical="center" shrinkToFit="1"/>
      <protection hidden="1"/>
    </xf>
    <xf numFmtId="38" fontId="11" fillId="0" borderId="0" xfId="2" applyFont="1" applyAlignment="1" applyProtection="1">
      <alignment horizontal="center" vertical="center" shrinkToFit="1"/>
      <protection hidden="1"/>
    </xf>
    <xf numFmtId="0" fontId="11" fillId="14" borderId="7" xfId="0" applyFont="1" applyFill="1" applyBorder="1" applyAlignment="1" applyProtection="1">
      <alignment horizontal="right" vertical="center" shrinkToFit="1"/>
      <protection hidden="1"/>
    </xf>
    <xf numFmtId="0" fontId="9" fillId="0" borderId="2" xfId="0" applyFont="1" applyBorder="1" applyAlignment="1" applyProtection="1">
      <alignment horizontal="center" vertical="center" shrinkToFit="1"/>
      <protection hidden="1"/>
    </xf>
    <xf numFmtId="0" fontId="11" fillId="14" borderId="2" xfId="0" applyFont="1" applyFill="1" applyBorder="1" applyAlignment="1" applyProtection="1">
      <alignment horizontal="right" vertical="center" shrinkToFit="1"/>
      <protection hidden="1"/>
    </xf>
    <xf numFmtId="38" fontId="11" fillId="14" borderId="2" xfId="0" applyNumberFormat="1" applyFont="1" applyFill="1" applyBorder="1" applyAlignment="1" applyProtection="1">
      <alignment horizontal="right" vertical="center" shrinkToFit="1"/>
      <protection hidden="1"/>
    </xf>
    <xf numFmtId="0" fontId="8" fillId="14" borderId="7" xfId="0" applyFont="1" applyFill="1" applyBorder="1" applyAlignment="1" applyProtection="1">
      <alignment horizontal="center" vertical="center" shrinkToFit="1"/>
      <protection hidden="1"/>
    </xf>
    <xf numFmtId="0" fontId="45" fillId="3" borderId="0" xfId="0" applyFont="1" applyFill="1" applyAlignment="1" applyProtection="1">
      <alignment vertical="center" shrinkToFit="1"/>
      <protection hidden="1"/>
    </xf>
    <xf numFmtId="204" fontId="21" fillId="0" borderId="24" xfId="0" applyNumberFormat="1" applyFont="1" applyBorder="1" applyAlignment="1" applyProtection="1">
      <alignment vertical="center" shrinkToFit="1"/>
      <protection hidden="1"/>
    </xf>
    <xf numFmtId="0" fontId="11" fillId="0" borderId="20" xfId="0" applyFont="1" applyBorder="1" applyAlignment="1" applyProtection="1">
      <alignment horizontal="right" vertical="center" shrinkToFit="1"/>
      <protection hidden="1"/>
    </xf>
    <xf numFmtId="184" fontId="21" fillId="0" borderId="20" xfId="0" applyNumberFormat="1" applyFont="1" applyBorder="1" applyAlignment="1" applyProtection="1">
      <alignment vertical="center" shrinkToFit="1"/>
      <protection hidden="1"/>
    </xf>
    <xf numFmtId="198" fontId="11" fillId="0" borderId="0" xfId="0" applyNumberFormat="1" applyFont="1" applyAlignment="1" applyProtection="1">
      <alignment vertical="center" shrinkToFit="1"/>
      <protection hidden="1"/>
    </xf>
    <xf numFmtId="181" fontId="11" fillId="6" borderId="21" xfId="2" applyNumberFormat="1" applyFont="1" applyFill="1" applyBorder="1" applyAlignment="1" applyProtection="1">
      <alignment horizontal="right" vertical="center" shrinkToFit="1"/>
      <protection locked="0"/>
    </xf>
    <xf numFmtId="14" fontId="10" fillId="2" borderId="21" xfId="0" applyNumberFormat="1" applyFont="1" applyFill="1" applyBorder="1" applyAlignment="1" applyProtection="1">
      <alignment vertical="center" shrinkToFit="1"/>
      <protection locked="0" hidden="1"/>
    </xf>
    <xf numFmtId="192" fontId="5" fillId="2" borderId="1" xfId="0" applyNumberFormat="1" applyFont="1" applyFill="1" applyBorder="1" applyAlignment="1" applyProtection="1">
      <alignment horizontal="right" vertical="center" shrinkToFit="1"/>
      <protection locked="0"/>
    </xf>
    <xf numFmtId="0" fontId="4" fillId="14" borderId="3" xfId="0" applyFont="1" applyFill="1" applyBorder="1" applyAlignment="1">
      <alignment horizontal="left" vertical="center" wrapText="1"/>
    </xf>
    <xf numFmtId="0" fontId="4" fillId="14" borderId="26" xfId="0" applyFont="1" applyFill="1" applyBorder="1" applyAlignment="1">
      <alignment horizontal="left" vertical="center" wrapText="1"/>
    </xf>
    <xf numFmtId="0" fontId="4" fillId="14" borderId="3" xfId="0" applyFont="1" applyFill="1" applyBorder="1" applyAlignment="1">
      <alignment horizontal="left" vertical="center" shrinkToFit="1"/>
    </xf>
    <xf numFmtId="0" fontId="4" fillId="14" borderId="25" xfId="0" applyFont="1" applyFill="1" applyBorder="1" applyAlignment="1">
      <alignment horizontal="left" vertical="center" shrinkToFit="1"/>
    </xf>
    <xf numFmtId="0" fontId="4" fillId="14" borderId="26" xfId="0" applyFont="1" applyFill="1" applyBorder="1" applyAlignment="1">
      <alignment horizontal="left" vertical="center" shrinkToFit="1"/>
    </xf>
    <xf numFmtId="0" fontId="5" fillId="0" borderId="0" xfId="0" applyFont="1" applyAlignment="1">
      <alignment horizontal="left" vertical="center"/>
    </xf>
    <xf numFmtId="0" fontId="4" fillId="14" borderId="3" xfId="0" applyFont="1" applyFill="1" applyBorder="1" applyAlignment="1">
      <alignment horizontal="center" vertical="center"/>
    </xf>
    <xf numFmtId="0" fontId="4" fillId="14" borderId="26" xfId="0" applyFont="1" applyFill="1" applyBorder="1" applyAlignment="1">
      <alignment horizontal="center" vertical="center"/>
    </xf>
    <xf numFmtId="0" fontId="4" fillId="0" borderId="3" xfId="0" applyFont="1" applyBorder="1" applyAlignment="1">
      <alignment horizontal="left" vertical="center" shrinkToFit="1"/>
    </xf>
    <xf numFmtId="0" fontId="4" fillId="0" borderId="26" xfId="0" applyFont="1" applyBorder="1" applyAlignment="1">
      <alignment horizontal="left" vertical="center" shrinkToFit="1"/>
    </xf>
    <xf numFmtId="0" fontId="4" fillId="0" borderId="16"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3" xfId="0" applyFont="1" applyBorder="1" applyAlignment="1">
      <alignment horizontal="center" vertical="center" shrinkToFit="1"/>
    </xf>
    <xf numFmtId="0" fontId="4" fillId="0" borderId="26" xfId="0" applyFont="1" applyBorder="1" applyAlignment="1">
      <alignment horizontal="center" vertical="center" shrinkToFit="1"/>
    </xf>
    <xf numFmtId="0" fontId="11" fillId="0" borderId="3" xfId="0" applyFont="1" applyBorder="1" applyAlignment="1">
      <alignment horizontal="left" vertical="center" shrinkToFit="1"/>
    </xf>
    <xf numFmtId="0" fontId="11" fillId="0" borderId="26" xfId="0" applyFont="1" applyBorder="1" applyAlignment="1">
      <alignment horizontal="left" vertical="center" shrinkToFit="1"/>
    </xf>
    <xf numFmtId="0" fontId="14" fillId="14" borderId="0" xfId="0" applyFont="1" applyFill="1" applyAlignment="1">
      <alignment horizontal="left" vertical="center" wrapText="1"/>
    </xf>
    <xf numFmtId="0" fontId="14" fillId="14" borderId="3" xfId="0" applyFont="1" applyFill="1" applyBorder="1" applyAlignment="1">
      <alignment horizontal="center" vertical="center" shrinkToFit="1"/>
    </xf>
    <xf numFmtId="0" fontId="14" fillId="14" borderId="25" xfId="0" applyFont="1" applyFill="1" applyBorder="1" applyAlignment="1">
      <alignment horizontal="center" vertical="center" shrinkToFit="1"/>
    </xf>
    <xf numFmtId="0" fontId="14" fillId="14" borderId="26" xfId="0" applyFont="1" applyFill="1" applyBorder="1" applyAlignment="1">
      <alignment horizontal="center" vertical="center" shrinkToFit="1"/>
    </xf>
    <xf numFmtId="0" fontId="18" fillId="14" borderId="3" xfId="0" applyFont="1" applyFill="1" applyBorder="1" applyAlignment="1">
      <alignment horizontal="left" vertical="center" indent="1" shrinkToFit="1"/>
    </xf>
    <xf numFmtId="0" fontId="18" fillId="14" borderId="25" xfId="0" applyFont="1" applyFill="1" applyBorder="1" applyAlignment="1">
      <alignment horizontal="left" vertical="center" indent="1" shrinkToFit="1"/>
    </xf>
    <xf numFmtId="0" fontId="18" fillId="14" borderId="26" xfId="0" applyFont="1" applyFill="1" applyBorder="1" applyAlignment="1">
      <alignment horizontal="left" vertical="center" indent="1" shrinkToFit="1"/>
    </xf>
    <xf numFmtId="0" fontId="14" fillId="14" borderId="27" xfId="0" applyFont="1" applyFill="1" applyBorder="1" applyAlignment="1">
      <alignment horizontal="left" vertical="center" wrapText="1"/>
    </xf>
    <xf numFmtId="0" fontId="4" fillId="0" borderId="17" xfId="0" applyFont="1" applyBorder="1" applyAlignment="1">
      <alignment horizontal="left" vertical="center"/>
    </xf>
    <xf numFmtId="0" fontId="4" fillId="14" borderId="34" xfId="0" applyFont="1" applyFill="1" applyBorder="1" applyAlignment="1">
      <alignment horizontal="center" vertical="center" wrapText="1"/>
    </xf>
    <xf numFmtId="0" fontId="4" fillId="14" borderId="32" xfId="0" applyFont="1" applyFill="1" applyBorder="1" applyAlignment="1">
      <alignment horizontal="center" vertical="center" wrapText="1"/>
    </xf>
    <xf numFmtId="0" fontId="4" fillId="14" borderId="33"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11" fillId="0" borderId="0" xfId="0" applyFont="1" applyAlignment="1" applyProtection="1">
      <alignment horizontal="left" vertical="center" shrinkToFit="1"/>
      <protection hidden="1"/>
    </xf>
    <xf numFmtId="196" fontId="21" fillId="3" borderId="0" xfId="0" applyNumberFormat="1" applyFont="1" applyFill="1" applyAlignment="1" applyProtection="1">
      <alignment horizontal="left" vertical="center" shrinkToFit="1"/>
      <protection hidden="1"/>
    </xf>
    <xf numFmtId="197" fontId="11" fillId="3" borderId="49" xfId="0" applyNumberFormat="1" applyFont="1" applyFill="1" applyBorder="1" applyAlignment="1" applyProtection="1">
      <alignment horizontal="center" vertical="center" shrinkToFit="1"/>
      <protection hidden="1"/>
    </xf>
    <xf numFmtId="197" fontId="11" fillId="3" borderId="27" xfId="0" applyNumberFormat="1" applyFont="1" applyFill="1" applyBorder="1" applyAlignment="1" applyProtection="1">
      <alignment horizontal="center" vertical="center" shrinkToFit="1"/>
      <protection hidden="1"/>
    </xf>
    <xf numFmtId="197" fontId="11" fillId="3" borderId="39" xfId="0" applyNumberFormat="1" applyFont="1" applyFill="1" applyBorder="1" applyAlignment="1" applyProtection="1">
      <alignment horizontal="center" vertical="center" shrinkToFit="1"/>
      <protection hidden="1"/>
    </xf>
    <xf numFmtId="197" fontId="11" fillId="3" borderId="0" xfId="0" applyNumberFormat="1" applyFont="1" applyFill="1" applyAlignment="1" applyProtection="1">
      <alignment horizontal="center" vertical="center" shrinkToFit="1"/>
      <protection hidden="1"/>
    </xf>
    <xf numFmtId="197" fontId="11" fillId="3" borderId="40" xfId="0" applyNumberFormat="1" applyFont="1" applyFill="1" applyBorder="1" applyAlignment="1" applyProtection="1">
      <alignment horizontal="center" vertical="center" shrinkToFit="1"/>
      <protection hidden="1"/>
    </xf>
    <xf numFmtId="197" fontId="11" fillId="3" borderId="51" xfId="0" applyNumberFormat="1" applyFont="1" applyFill="1" applyBorder="1" applyAlignment="1" applyProtection="1">
      <alignment horizontal="center" vertical="center" shrinkToFit="1"/>
      <protection hidden="1"/>
    </xf>
    <xf numFmtId="197" fontId="11" fillId="3" borderId="50" xfId="0" applyNumberFormat="1" applyFont="1" applyFill="1" applyBorder="1" applyAlignment="1" applyProtection="1">
      <alignment horizontal="center" vertical="center" shrinkToFit="1"/>
      <protection hidden="1"/>
    </xf>
    <xf numFmtId="197" fontId="11" fillId="3" borderId="44" xfId="0" applyNumberFormat="1" applyFont="1" applyFill="1" applyBorder="1" applyAlignment="1" applyProtection="1">
      <alignment horizontal="center" vertical="center" shrinkToFit="1"/>
      <protection hidden="1"/>
    </xf>
    <xf numFmtId="197" fontId="11" fillId="3" borderId="45" xfId="0" applyNumberFormat="1" applyFont="1" applyFill="1" applyBorder="1" applyAlignment="1" applyProtection="1">
      <alignment horizontal="center" vertical="center" shrinkToFit="1"/>
      <protection hidden="1"/>
    </xf>
    <xf numFmtId="0" fontId="11" fillId="0" borderId="28" xfId="0" applyFont="1" applyBorder="1" applyAlignment="1" applyProtection="1">
      <alignment horizontal="center" vertical="center" wrapText="1" shrinkToFit="1"/>
      <protection hidden="1"/>
    </xf>
    <xf numFmtId="0" fontId="11" fillId="0" borderId="23" xfId="0" applyFont="1" applyBorder="1" applyAlignment="1" applyProtection="1">
      <alignment horizontal="center" vertical="center" shrinkToFit="1"/>
      <protection hidden="1"/>
    </xf>
    <xf numFmtId="0" fontId="11" fillId="0" borderId="29" xfId="0" applyFont="1" applyBorder="1" applyAlignment="1" applyProtection="1">
      <alignment horizontal="center" vertical="center" shrinkToFit="1"/>
      <protection hidden="1"/>
    </xf>
    <xf numFmtId="0" fontId="4" fillId="0" borderId="24" xfId="0" applyFont="1" applyBorder="1" applyAlignment="1" applyProtection="1">
      <alignment horizontal="left" vertical="center" shrinkToFit="1"/>
      <protection hidden="1"/>
    </xf>
    <xf numFmtId="186" fontId="21" fillId="0" borderId="24" xfId="0" applyNumberFormat="1" applyFont="1" applyBorder="1" applyAlignment="1" applyProtection="1">
      <alignment horizontal="right" vertical="center" shrinkToFit="1"/>
      <protection hidden="1"/>
    </xf>
    <xf numFmtId="0" fontId="11" fillId="0" borderId="20" xfId="0" applyFont="1" applyBorder="1" applyAlignment="1" applyProtection="1">
      <alignment horizontal="right" vertical="center" shrinkToFit="1"/>
      <protection hidden="1"/>
    </xf>
    <xf numFmtId="184" fontId="21" fillId="0" borderId="20" xfId="0" applyNumberFormat="1" applyFont="1" applyBorder="1" applyAlignment="1" applyProtection="1">
      <alignment horizontal="center" vertical="center" shrinkToFit="1"/>
      <protection hidden="1"/>
    </xf>
    <xf numFmtId="0" fontId="4" fillId="0" borderId="0" xfId="0" applyFont="1" applyAlignment="1" applyProtection="1">
      <alignment horizontal="left" vertical="center" shrinkToFit="1"/>
      <protection hidden="1"/>
    </xf>
    <xf numFmtId="205" fontId="21" fillId="0" borderId="0" xfId="0" applyNumberFormat="1" applyFont="1" applyAlignment="1" applyProtection="1">
      <alignment horizontal="center" vertical="center" shrinkToFit="1"/>
      <protection hidden="1"/>
    </xf>
    <xf numFmtId="0" fontId="11" fillId="0" borderId="0" xfId="0" applyFont="1" applyAlignment="1" applyProtection="1">
      <alignment horizontal="center" vertical="center" shrinkToFit="1"/>
      <protection hidden="1"/>
    </xf>
    <xf numFmtId="0" fontId="50" fillId="14" borderId="0" xfId="0" applyFont="1" applyFill="1" applyAlignment="1" applyProtection="1">
      <alignment horizontal="center" vertical="center" shrinkToFit="1"/>
      <protection hidden="1"/>
    </xf>
    <xf numFmtId="0" fontId="21" fillId="3" borderId="0" xfId="0" applyFont="1" applyFill="1" applyAlignment="1" applyProtection="1">
      <alignment horizontal="left" vertical="center" shrinkToFit="1"/>
      <protection hidden="1"/>
    </xf>
    <xf numFmtId="201" fontId="11" fillId="3" borderId="49" xfId="0" applyNumberFormat="1" applyFont="1" applyFill="1" applyBorder="1" applyAlignment="1" applyProtection="1">
      <alignment horizontal="center" vertical="center" shrinkToFit="1"/>
      <protection hidden="1"/>
    </xf>
    <xf numFmtId="201" fontId="11" fillId="3" borderId="27" xfId="0" applyNumberFormat="1" applyFont="1" applyFill="1" applyBorder="1" applyAlignment="1" applyProtection="1">
      <alignment horizontal="center" vertical="center" shrinkToFit="1"/>
      <protection hidden="1"/>
    </xf>
    <xf numFmtId="201" fontId="11" fillId="3" borderId="39" xfId="0" applyNumberFormat="1" applyFont="1" applyFill="1" applyBorder="1" applyAlignment="1" applyProtection="1">
      <alignment horizontal="center" vertical="center" shrinkToFit="1"/>
      <protection hidden="1"/>
    </xf>
    <xf numFmtId="201" fontId="11" fillId="3" borderId="0" xfId="0" applyNumberFormat="1" applyFont="1" applyFill="1" applyAlignment="1" applyProtection="1">
      <alignment horizontal="center" vertical="center" shrinkToFit="1"/>
      <protection hidden="1"/>
    </xf>
    <xf numFmtId="201" fontId="11" fillId="3" borderId="47" xfId="0" applyNumberFormat="1" applyFont="1" applyFill="1" applyBorder="1" applyAlignment="1" applyProtection="1">
      <alignment horizontal="center" vertical="center" shrinkToFit="1"/>
      <protection hidden="1"/>
    </xf>
    <xf numFmtId="201" fontId="11" fillId="3" borderId="17" xfId="0" applyNumberFormat="1" applyFont="1" applyFill="1" applyBorder="1" applyAlignment="1" applyProtection="1">
      <alignment horizontal="center" vertical="center" shrinkToFit="1"/>
      <protection hidden="1"/>
    </xf>
    <xf numFmtId="201" fontId="11" fillId="3" borderId="50" xfId="0" applyNumberFormat="1" applyFont="1" applyFill="1" applyBorder="1" applyAlignment="1" applyProtection="1">
      <alignment horizontal="center" vertical="center" shrinkToFit="1"/>
      <protection hidden="1"/>
    </xf>
    <xf numFmtId="201" fontId="11" fillId="3" borderId="44" xfId="0" applyNumberFormat="1" applyFont="1" applyFill="1" applyBorder="1" applyAlignment="1" applyProtection="1">
      <alignment horizontal="center" vertical="center" shrinkToFit="1"/>
      <protection hidden="1"/>
    </xf>
    <xf numFmtId="201" fontId="11" fillId="3" borderId="48" xfId="0" applyNumberFormat="1" applyFont="1" applyFill="1" applyBorder="1" applyAlignment="1" applyProtection="1">
      <alignment horizontal="center" vertical="center" shrinkToFit="1"/>
      <protection hidden="1"/>
    </xf>
    <xf numFmtId="183" fontId="10" fillId="12" borderId="23" xfId="0" applyNumberFormat="1" applyFont="1" applyFill="1" applyBorder="1" applyAlignment="1" applyProtection="1">
      <alignment horizontal="left" vertical="center" shrinkToFit="1"/>
      <protection hidden="1"/>
    </xf>
    <xf numFmtId="183" fontId="10" fillId="12" borderId="0" xfId="0" applyNumberFormat="1" applyFont="1" applyFill="1" applyAlignment="1" applyProtection="1">
      <alignment horizontal="left" vertical="center" shrinkToFit="1"/>
      <protection hidden="1"/>
    </xf>
    <xf numFmtId="183" fontId="10" fillId="12" borderId="19" xfId="0" applyNumberFormat="1" applyFont="1" applyFill="1" applyBorder="1" applyAlignment="1" applyProtection="1">
      <alignment horizontal="left" vertical="center" shrinkToFit="1"/>
      <protection hidden="1"/>
    </xf>
    <xf numFmtId="0" fontId="8" fillId="0" borderId="0" xfId="0" applyFont="1" applyAlignment="1" applyProtection="1">
      <alignment horizontal="center" vertical="center" shrinkToFit="1"/>
      <protection hidden="1"/>
    </xf>
    <xf numFmtId="178" fontId="11" fillId="0" borderId="0" xfId="0" applyNumberFormat="1" applyFont="1" applyAlignment="1" applyProtection="1">
      <alignment horizontal="center" vertical="center" shrinkToFit="1"/>
      <protection hidden="1"/>
    </xf>
    <xf numFmtId="0" fontId="5" fillId="3" borderId="0" xfId="0" applyFont="1" applyFill="1" applyAlignment="1" applyProtection="1">
      <alignment horizontal="center" vertical="center" shrinkToFit="1"/>
      <protection hidden="1"/>
    </xf>
    <xf numFmtId="200" fontId="6" fillId="3" borderId="0" xfId="0" applyNumberFormat="1" applyFont="1" applyFill="1" applyAlignment="1" applyProtection="1">
      <alignment horizontal="center" vertical="center" shrinkToFit="1"/>
      <protection hidden="1"/>
    </xf>
    <xf numFmtId="0" fontId="11" fillId="3" borderId="46" xfId="0" applyFont="1" applyFill="1" applyBorder="1" applyAlignment="1" applyProtection="1">
      <alignment horizontal="center" vertical="center" shrinkToFit="1"/>
      <protection hidden="1"/>
    </xf>
    <xf numFmtId="0" fontId="11" fillId="3" borderId="42" xfId="0" applyFont="1" applyFill="1" applyBorder="1" applyAlignment="1" applyProtection="1">
      <alignment horizontal="center" vertical="center" shrinkToFit="1"/>
      <protection hidden="1"/>
    </xf>
    <xf numFmtId="0" fontId="11" fillId="3" borderId="39" xfId="0" applyFont="1" applyFill="1" applyBorder="1" applyAlignment="1" applyProtection="1">
      <alignment horizontal="center" vertical="center" shrinkToFit="1"/>
      <protection hidden="1"/>
    </xf>
    <xf numFmtId="0" fontId="11" fillId="3" borderId="0" xfId="0" applyFont="1" applyFill="1" applyAlignment="1" applyProtection="1">
      <alignment horizontal="center" vertical="center" shrinkToFit="1"/>
      <protection hidden="1"/>
    </xf>
    <xf numFmtId="0" fontId="11" fillId="3" borderId="47" xfId="0" applyFont="1" applyFill="1" applyBorder="1" applyAlignment="1" applyProtection="1">
      <alignment horizontal="center" vertical="center" shrinkToFit="1"/>
      <protection hidden="1"/>
    </xf>
    <xf numFmtId="0" fontId="11" fillId="3" borderId="17" xfId="0" applyFont="1" applyFill="1" applyBorder="1" applyAlignment="1" applyProtection="1">
      <alignment horizontal="center" vertical="center" shrinkToFit="1"/>
      <protection hidden="1"/>
    </xf>
    <xf numFmtId="201" fontId="11" fillId="3" borderId="42" xfId="0" applyNumberFormat="1" applyFont="1" applyFill="1" applyBorder="1" applyAlignment="1" applyProtection="1">
      <alignment horizontal="center" vertical="center" shrinkToFit="1"/>
      <protection hidden="1"/>
    </xf>
    <xf numFmtId="201" fontId="11" fillId="3" borderId="38" xfId="0" applyNumberFormat="1" applyFont="1" applyFill="1" applyBorder="1" applyAlignment="1" applyProtection="1">
      <alignment horizontal="center" vertical="center" shrinkToFit="1"/>
      <protection hidden="1"/>
    </xf>
    <xf numFmtId="206" fontId="21" fillId="3" borderId="0" xfId="0" applyNumberFormat="1" applyFont="1" applyFill="1" applyAlignment="1" applyProtection="1">
      <alignment horizontal="left" vertical="center" shrinkToFit="1"/>
      <protection hidden="1"/>
    </xf>
    <xf numFmtId="0" fontId="10" fillId="11" borderId="30" xfId="0" applyFont="1" applyFill="1" applyBorder="1" applyAlignment="1" applyProtection="1">
      <alignment horizontal="center" vertical="center" shrinkToFit="1"/>
      <protection hidden="1"/>
    </xf>
    <xf numFmtId="0" fontId="10" fillId="11" borderId="0" xfId="0" applyFont="1" applyFill="1" applyAlignment="1" applyProtection="1">
      <alignment horizontal="center" vertical="center" shrinkToFit="1"/>
      <protection hidden="1"/>
    </xf>
    <xf numFmtId="0" fontId="10" fillId="11" borderId="19" xfId="0" applyFont="1" applyFill="1" applyBorder="1" applyAlignment="1" applyProtection="1">
      <alignment horizontal="center" vertical="center" shrinkToFit="1"/>
      <protection hidden="1"/>
    </xf>
    <xf numFmtId="203" fontId="11" fillId="3" borderId="17" xfId="0" applyNumberFormat="1" applyFont="1" applyFill="1" applyBorder="1" applyAlignment="1" applyProtection="1">
      <alignment horizontal="center" vertical="center" shrinkToFit="1"/>
      <protection hidden="1"/>
    </xf>
    <xf numFmtId="192" fontId="19" fillId="3" borderId="0" xfId="0" applyNumberFormat="1" applyFont="1" applyFill="1" applyAlignment="1" applyProtection="1">
      <alignment horizontal="center" vertical="center" shrinkToFit="1"/>
      <protection hidden="1"/>
    </xf>
    <xf numFmtId="0" fontId="55" fillId="14" borderId="23" xfId="0" applyFont="1" applyFill="1" applyBorder="1" applyAlignment="1" applyProtection="1">
      <alignment horizontal="center" vertical="center" shrinkToFit="1"/>
      <protection hidden="1"/>
    </xf>
    <xf numFmtId="0" fontId="55" fillId="14" borderId="0" xfId="0" applyFont="1" applyFill="1" applyAlignment="1" applyProtection="1">
      <alignment horizontal="center" vertical="center" shrinkToFit="1"/>
      <protection hidden="1"/>
    </xf>
    <xf numFmtId="0" fontId="4" fillId="0" borderId="0" xfId="0" applyFont="1" applyAlignment="1" applyProtection="1">
      <alignment horizontal="center" vertical="center" shrinkToFit="1"/>
      <protection hidden="1"/>
    </xf>
  </cellXfs>
  <cellStyles count="4">
    <cellStyle name="ハイパーリンク" xfId="1" builtinId="8"/>
    <cellStyle name="桁区切り" xfId="2" builtinId="6"/>
    <cellStyle name="標準" xfId="0" builtinId="0"/>
    <cellStyle name="標準 2" xfId="3" xr:uid="{186D15C2-7DEE-4DA0-B9D4-FCC3A796612C}"/>
  </cellStyles>
  <dxfs count="18">
    <dxf>
      <fill>
        <patternFill>
          <bgColor rgb="FF00B0F0"/>
        </patternFill>
      </fill>
    </dxf>
    <dxf>
      <fill>
        <patternFill>
          <bgColor theme="3" tint="0.59974974822229687"/>
        </patternFill>
      </fill>
    </dxf>
    <dxf>
      <fill>
        <patternFill>
          <bgColor rgb="FF00B0F0"/>
        </patternFill>
      </fill>
    </dxf>
    <dxf>
      <fill>
        <patternFill>
          <bgColor theme="0"/>
        </patternFill>
      </fill>
    </dxf>
    <dxf>
      <fill>
        <patternFill patternType="none">
          <bgColor auto="1"/>
        </patternFill>
      </fill>
    </dxf>
    <dxf>
      <font>
        <color rgb="FFFF0000"/>
      </font>
      <fill>
        <patternFill>
          <bgColor theme="0" tint="-0.14996795556505021"/>
        </patternFill>
      </fill>
    </dxf>
    <dxf>
      <fill>
        <patternFill>
          <bgColor rgb="FF00B0F0"/>
        </patternFill>
      </fill>
    </dxf>
    <dxf>
      <fill>
        <patternFill>
          <bgColor theme="3" tint="0.59974974822229687"/>
        </patternFill>
      </fill>
    </dxf>
    <dxf>
      <fill>
        <patternFill>
          <bgColor rgb="FF00B0F0"/>
        </patternFill>
      </fill>
    </dxf>
    <dxf>
      <fill>
        <patternFill>
          <bgColor theme="3" tint="0.59974974822229687"/>
        </patternFill>
      </fill>
    </dxf>
    <dxf>
      <fill>
        <patternFill>
          <bgColor rgb="FF00B0F0"/>
        </patternFill>
      </fill>
    </dxf>
    <dxf>
      <fill>
        <patternFill>
          <bgColor theme="3" tint="0.59974974822229687"/>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ont>
        <color rgb="FFFF0000"/>
      </font>
      <fill>
        <patternFill>
          <bgColor theme="0" tint="-0.14996795556505021"/>
        </patternFill>
      </fill>
    </dxf>
    <dxf>
      <fill>
        <patternFill>
          <bgColor rgb="FF00B0F0"/>
        </patternFill>
      </fill>
    </dxf>
  </dxfs>
  <tableStyles count="0" defaultTableStyle="TableStyleMedium2" defaultPivotStyle="PivotStyleLight16"/>
  <colors>
    <mruColors>
      <color rgb="FFFFFF99"/>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36605;&#28187;&#21046;&#24230;!M4"/><Relationship Id="rId2" Type="http://schemas.openxmlformats.org/officeDocument/2006/relationships/hyperlink" Target="#&#30003;&#21578;&#26360;!A1"/><Relationship Id="rId1" Type="http://schemas.openxmlformats.org/officeDocument/2006/relationships/hyperlink" Target="#&#35336;&#31639;&#12471;&#12540;&#12488;!A1"/></Relationships>
</file>

<file path=xl/drawings/_rels/drawing2.xml.rels><?xml version="1.0" encoding="UTF-8" standalone="yes"?>
<Relationships xmlns="http://schemas.openxmlformats.org/package/2006/relationships"><Relationship Id="rId1" Type="http://schemas.openxmlformats.org/officeDocument/2006/relationships/hyperlink" Target="#&#35336;&#31639;&#12471;&#12540;&#12488;!A1"/></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hyperlink" Target="#&#35336;&#31639;&#12471;&#12540;&#12488;!A1"/></Relationships>
</file>

<file path=xl/drawings/_rels/drawing4.xml.rels><?xml version="1.0" encoding="UTF-8" standalone="yes"?>
<Relationships xmlns="http://schemas.openxmlformats.org/package/2006/relationships"><Relationship Id="rId3" Type="http://schemas.openxmlformats.org/officeDocument/2006/relationships/hyperlink" Target="#&#36605;&#28187;&#21046;&#24230;!A1"/><Relationship Id="rId2" Type="http://schemas.openxmlformats.org/officeDocument/2006/relationships/hyperlink" Target="#&#27880;&#24847;&#20107;&#38917;!A1"/><Relationship Id="rId1" Type="http://schemas.openxmlformats.org/officeDocument/2006/relationships/hyperlink" Target="#&#30003;&#21578;&#26360;!A1"/><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absolute">
    <xdr:from>
      <xdr:col>6</xdr:col>
      <xdr:colOff>511755</xdr:colOff>
      <xdr:row>1</xdr:row>
      <xdr:rowOff>94448</xdr:rowOff>
    </xdr:from>
    <xdr:to>
      <xdr:col>7</xdr:col>
      <xdr:colOff>548454</xdr:colOff>
      <xdr:row>3</xdr:row>
      <xdr:rowOff>30325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3F5DDD94-8BF1-4F62-81C2-B78F73039913}"/>
            </a:ext>
          </a:extLst>
        </xdr:cNvPr>
        <xdr:cNvSpPr>
          <a:spLocks noChangeAspect="1"/>
        </xdr:cNvSpPr>
      </xdr:nvSpPr>
      <xdr:spPr>
        <a:xfrm>
          <a:off x="8811177" y="269708"/>
          <a:ext cx="790168" cy="415937"/>
        </a:xfrm>
        <a:prstGeom prst="bevel">
          <a:avLst/>
        </a:prstGeom>
        <a:solidFill>
          <a:srgbClr val="00B0F0"/>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rtlCol="0" anchor="ctr"/>
        <a:lstStyle/>
        <a:p>
          <a:pPr algn="ctr"/>
          <a:r>
            <a:rPr lang="ja-JP" altLang="en-US" sz="1200" b="1" baseline="0">
              <a:solidFill>
                <a:schemeClr val="bg1"/>
              </a:solidFill>
              <a:latin typeface="BIZ UDPゴシック" panose="020B0400000000000000" pitchFamily="50" charset="-128"/>
              <a:ea typeface="BIZ UDPゴシック" panose="020B0400000000000000" pitchFamily="50" charset="-128"/>
            </a:rPr>
            <a:t>戻る</a:t>
          </a:r>
        </a:p>
      </xdr:txBody>
    </xdr:sp>
    <xdr:clientData/>
  </xdr:twoCellAnchor>
  <xdr:twoCellAnchor editAs="oneCell">
    <xdr:from>
      <xdr:col>4</xdr:col>
      <xdr:colOff>179044</xdr:colOff>
      <xdr:row>41</xdr:row>
      <xdr:rowOff>8530</xdr:rowOff>
    </xdr:from>
    <xdr:to>
      <xdr:col>5</xdr:col>
      <xdr:colOff>9251</xdr:colOff>
      <xdr:row>42</xdr:row>
      <xdr:rowOff>131747</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8EEBBA8F-A4FA-4BD7-AE46-242D56990212}"/>
            </a:ext>
          </a:extLst>
        </xdr:cNvPr>
        <xdr:cNvSpPr>
          <a:spLocks/>
        </xdr:cNvSpPr>
      </xdr:nvSpPr>
      <xdr:spPr>
        <a:xfrm>
          <a:off x="6890359" y="9030610"/>
          <a:ext cx="637927" cy="328957"/>
        </a:xfrm>
        <a:prstGeom prst="bevel">
          <a:avLst/>
        </a:prstGeom>
        <a:solidFill>
          <a:srgbClr val="00B0F0"/>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lIns="91440" tIns="108000" rIns="91440" bIns="45720" rtlCol="0" anchor="ctr"/>
        <a:lstStyle/>
        <a:p>
          <a:pPr algn="ctr">
            <a:lnSpc>
              <a:spcPts val="800"/>
            </a:lnSpc>
          </a:pPr>
          <a:r>
            <a:rPr lang="ja-JP" altLang="en-US" sz="1200" b="1" baseline="0">
              <a:solidFill>
                <a:schemeClr val="bg1"/>
              </a:solidFill>
              <a:latin typeface="BIZ UDPゴシック" panose="020B0400000000000000" pitchFamily="50" charset="-128"/>
              <a:ea typeface="BIZ UDPゴシック" panose="020B0400000000000000" pitchFamily="50" charset="-128"/>
            </a:rPr>
            <a:t>参考</a:t>
          </a:r>
          <a:endParaRPr lang="ja-JP" altLang="en-US" sz="1200" baseline="0">
            <a:solidFill>
              <a:schemeClr val="bg1"/>
            </a:solidFill>
          </a:endParaRPr>
        </a:p>
      </xdr:txBody>
    </xdr:sp>
    <xdr:clientData/>
  </xdr:twoCellAnchor>
  <xdr:twoCellAnchor editAs="oneCell">
    <xdr:from>
      <xdr:col>9</xdr:col>
      <xdr:colOff>44402</xdr:colOff>
      <xdr:row>22</xdr:row>
      <xdr:rowOff>133296</xdr:rowOff>
    </xdr:from>
    <xdr:to>
      <xdr:col>9</xdr:col>
      <xdr:colOff>737421</xdr:colOff>
      <xdr:row>24</xdr:row>
      <xdr:rowOff>50877</xdr:rowOff>
    </xdr:to>
    <xdr:sp macro="" textlink="">
      <xdr:nvSpPr>
        <xdr:cNvPr id="4" name="四角形: 角度付き 6">
          <a:hlinkClick xmlns:r="http://schemas.openxmlformats.org/officeDocument/2006/relationships" r:id="rId3"/>
          <a:extLst>
            <a:ext uri="{FF2B5EF4-FFF2-40B4-BE49-F238E27FC236}">
              <a16:creationId xmlns:a16="http://schemas.microsoft.com/office/drawing/2014/main" id="{97C91595-02F3-40F1-B8FF-57C554950E51}"/>
            </a:ext>
          </a:extLst>
        </xdr:cNvPr>
        <xdr:cNvSpPr>
          <a:spLocks noChangeAspect="1"/>
        </xdr:cNvSpPr>
      </xdr:nvSpPr>
      <xdr:spPr>
        <a:xfrm>
          <a:off x="11247707" y="4775781"/>
          <a:ext cx="693019" cy="504321"/>
        </a:xfrm>
        <a:prstGeom prst="bevel">
          <a:avLst/>
        </a:prstGeom>
        <a:solidFill>
          <a:srgbClr val="00B0F0"/>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lIns="91440" tIns="72000" rIns="91440" bIns="45720" rtlCol="0" anchor="ctr"/>
        <a:lstStyle/>
        <a:p>
          <a:pPr algn="ctr">
            <a:lnSpc>
              <a:spcPts val="800"/>
            </a:lnSpc>
            <a:spcBef>
              <a:spcPts val="400"/>
            </a:spcBef>
          </a:pPr>
          <a:r>
            <a:rPr lang="ja-JP" altLang="en-US" sz="1100" b="1" baseline="0">
              <a:solidFill>
                <a:schemeClr val="bg1"/>
              </a:solidFill>
              <a:latin typeface="BIZ UDPゴシック" panose="020B0400000000000000" pitchFamily="50" charset="-128"/>
              <a:ea typeface="BIZ UDPゴシック" panose="020B0400000000000000" pitchFamily="50" charset="-128"/>
            </a:rPr>
            <a:t>軽減</a:t>
          </a:r>
          <a:endParaRPr lang="en-US" altLang="ja-JP" sz="1100" b="1" baseline="0">
            <a:solidFill>
              <a:schemeClr val="bg1"/>
            </a:solidFill>
            <a:latin typeface="BIZ UDPゴシック" panose="020B0400000000000000" pitchFamily="50" charset="-128"/>
            <a:ea typeface="BIZ UDPゴシック" panose="020B0400000000000000" pitchFamily="50" charset="-128"/>
          </a:endParaRPr>
        </a:p>
        <a:p>
          <a:pPr algn="ctr">
            <a:lnSpc>
              <a:spcPts val="700"/>
            </a:lnSpc>
            <a:spcBef>
              <a:spcPts val="400"/>
            </a:spcBef>
          </a:pPr>
          <a:r>
            <a:rPr lang="ja-JP" altLang="en-US" sz="1100" b="1" baseline="0">
              <a:solidFill>
                <a:schemeClr val="bg1"/>
              </a:solidFill>
              <a:latin typeface="BIZ UDPゴシック" panose="020B0400000000000000" pitchFamily="50" charset="-128"/>
              <a:ea typeface="BIZ UDPゴシック" panose="020B0400000000000000" pitchFamily="50" charset="-128"/>
            </a:rPr>
            <a:t>判定</a:t>
          </a:r>
          <a:endParaRPr lang="en-US" altLang="ja-JP" sz="1100" b="1" baseline="0">
            <a:solidFill>
              <a:schemeClr val="bg1"/>
            </a:solidFill>
            <a:latin typeface="BIZ UDPゴシック" panose="020B0400000000000000" pitchFamily="50" charset="-128"/>
            <a:ea typeface="BIZ UDPゴシック" panose="020B0400000000000000" pitchFamily="50" charset="-128"/>
          </a:endParaRPr>
        </a:p>
        <a:p>
          <a:pPr algn="ctr">
            <a:lnSpc>
              <a:spcPts val="700"/>
            </a:lnSpc>
          </a:pPr>
          <a:endParaRPr lang="ja-JP" altLang="en-US" sz="1100" baseline="0">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95250</xdr:colOff>
      <xdr:row>0</xdr:row>
      <xdr:rowOff>116206</xdr:rowOff>
    </xdr:from>
    <xdr:to>
      <xdr:col>11</xdr:col>
      <xdr:colOff>897890</xdr:colOff>
      <xdr:row>2</xdr:row>
      <xdr:rowOff>97790</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3D76BB11-608D-4F2C-9B5D-117C04425B10}"/>
            </a:ext>
          </a:extLst>
        </xdr:cNvPr>
        <xdr:cNvSpPr>
          <a:spLocks noChangeAspect="1"/>
        </xdr:cNvSpPr>
      </xdr:nvSpPr>
      <xdr:spPr>
        <a:xfrm>
          <a:off x="6758940" y="116206"/>
          <a:ext cx="806450" cy="495934"/>
        </a:xfrm>
        <a:prstGeom prst="bevel">
          <a:avLst/>
        </a:prstGeom>
        <a:solidFill>
          <a:srgbClr val="00B0F0"/>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lIns="91440" tIns="108000" rIns="91440" bIns="45720" rtlCol="0" anchor="ctr"/>
        <a:lstStyle/>
        <a:p>
          <a:pPr algn="ctr">
            <a:lnSpc>
              <a:spcPts val="800"/>
            </a:lnSpc>
          </a:pPr>
          <a:r>
            <a:rPr lang="ja-JP" altLang="en-US" sz="1400" b="1" baseline="0">
              <a:solidFill>
                <a:schemeClr val="bg1"/>
              </a:solidFill>
              <a:latin typeface="BIZ UDPゴシック" panose="020B0400000000000000" pitchFamily="50" charset="-128"/>
              <a:ea typeface="BIZ UDPゴシック" panose="020B0400000000000000" pitchFamily="50" charset="-128"/>
            </a:rPr>
            <a:t>戻る</a:t>
          </a:r>
          <a:endParaRPr lang="ja-JP" altLang="en-US" sz="1400" baseline="0">
            <a:solidFill>
              <a:schemeClr val="bg1"/>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325161</xdr:colOff>
      <xdr:row>40</xdr:row>
      <xdr:rowOff>159547</xdr:rowOff>
    </xdr:from>
    <xdr:to>
      <xdr:col>10</xdr:col>
      <xdr:colOff>545110</xdr:colOff>
      <xdr:row>101</xdr:row>
      <xdr:rowOff>55371</xdr:rowOff>
    </xdr:to>
    <xdr:pic>
      <xdr:nvPicPr>
        <xdr:cNvPr id="2" name="図 1">
          <a:extLst>
            <a:ext uri="{FF2B5EF4-FFF2-40B4-BE49-F238E27FC236}">
              <a16:creationId xmlns:a16="http://schemas.microsoft.com/office/drawing/2014/main" id="{6E5E7B5D-7F2C-4C91-A71A-45BD05088D4B}"/>
            </a:ext>
          </a:extLst>
        </xdr:cNvPr>
        <xdr:cNvPicPr>
          <a:picLocks noChangeAspect="1"/>
        </xdr:cNvPicPr>
      </xdr:nvPicPr>
      <xdr:blipFill rotWithShape="1">
        <a:blip xmlns:r="http://schemas.openxmlformats.org/officeDocument/2006/relationships" r:embed="rId1"/>
        <a:srcRect t="567" b="944"/>
        <a:stretch>
          <a:fillRect/>
        </a:stretch>
      </xdr:blipFill>
      <xdr:spPr>
        <a:xfrm>
          <a:off x="8160426" y="7162327"/>
          <a:ext cx="5390119" cy="9775154"/>
        </a:xfrm>
        <a:prstGeom prst="rect">
          <a:avLst/>
        </a:prstGeom>
        <a:solidFill>
          <a:srgbClr val="FFFF00">
            <a:alpha val="30000"/>
          </a:srgbClr>
        </a:solidFill>
        <a:ln w="50800">
          <a:solidFill>
            <a:srgbClr val="0070C0"/>
          </a:solidFill>
        </a:ln>
      </xdr:spPr>
    </xdr:pic>
    <xdr:clientData/>
  </xdr:twoCellAnchor>
  <xdr:twoCellAnchor>
    <xdr:from>
      <xdr:col>7</xdr:col>
      <xdr:colOff>631198</xdr:colOff>
      <xdr:row>69</xdr:row>
      <xdr:rowOff>125054</xdr:rowOff>
    </xdr:from>
    <xdr:to>
      <xdr:col>9</xdr:col>
      <xdr:colOff>428625</xdr:colOff>
      <xdr:row>84</xdr:row>
      <xdr:rowOff>95250</xdr:rowOff>
    </xdr:to>
    <xdr:sp macro="" textlink="">
      <xdr:nvSpPr>
        <xdr:cNvPr id="3" name="正方形/長方形 2">
          <a:extLst>
            <a:ext uri="{FF2B5EF4-FFF2-40B4-BE49-F238E27FC236}">
              <a16:creationId xmlns:a16="http://schemas.microsoft.com/office/drawing/2014/main" id="{9F445456-1228-4C88-985D-0700A4BCBD56}"/>
            </a:ext>
          </a:extLst>
        </xdr:cNvPr>
        <xdr:cNvSpPr/>
      </xdr:nvSpPr>
      <xdr:spPr bwMode="auto">
        <a:xfrm>
          <a:off x="8466463" y="11823659"/>
          <a:ext cx="2451092" cy="2393356"/>
        </a:xfrm>
        <a:prstGeom prst="rect">
          <a:avLst/>
        </a:prstGeom>
        <a:solidFill>
          <a:srgbClr val="FFFF00">
            <a:alpha val="25000"/>
          </a:srgbClr>
        </a:solidFill>
        <a:ln w="762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738262</xdr:colOff>
      <xdr:row>36</xdr:row>
      <xdr:rowOff>155122</xdr:rowOff>
    </xdr:from>
    <xdr:to>
      <xdr:col>9</xdr:col>
      <xdr:colOff>2337802</xdr:colOff>
      <xdr:row>41</xdr:row>
      <xdr:rowOff>61079</xdr:rowOff>
    </xdr:to>
    <xdr:sp macro="" textlink="">
      <xdr:nvSpPr>
        <xdr:cNvPr id="4" name="テキスト ボックス 3">
          <a:extLst>
            <a:ext uri="{FF2B5EF4-FFF2-40B4-BE49-F238E27FC236}">
              <a16:creationId xmlns:a16="http://schemas.microsoft.com/office/drawing/2014/main" id="{3E29452B-B863-4950-A38A-DAA917551D42}"/>
            </a:ext>
          </a:extLst>
        </xdr:cNvPr>
        <xdr:cNvSpPr txBox="1"/>
      </xdr:nvSpPr>
      <xdr:spPr>
        <a:xfrm>
          <a:off x="8581147" y="6508297"/>
          <a:ext cx="4247490" cy="71177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latin typeface="BIZ UDPゴシック" panose="020B0400000000000000" pitchFamily="50" charset="-128"/>
              <a:ea typeface="BIZ UDPゴシック" panose="020B0400000000000000" pitchFamily="50" charset="-128"/>
            </a:rPr>
            <a:t>分離課税　（分離課税用　</a:t>
          </a:r>
          <a:r>
            <a:rPr kumimoji="1" lang="ja-JP" altLang="ja-JP" sz="2000">
              <a:solidFill>
                <a:schemeClr val="dk1"/>
              </a:solidFill>
              <a:effectLst/>
              <a:latin typeface="BIZ UDPゴシック" panose="020B0400000000000000" pitchFamily="50" charset="-128"/>
              <a:ea typeface="BIZ UDPゴシック" panose="020B0400000000000000" pitchFamily="50" charset="-128"/>
              <a:cs typeface="+mn-cs"/>
            </a:rPr>
            <a:t>第</a:t>
          </a:r>
          <a:r>
            <a:rPr kumimoji="1" lang="ja-JP" altLang="en-US" sz="2000">
              <a:solidFill>
                <a:schemeClr val="dk1"/>
              </a:solidFill>
              <a:effectLst/>
              <a:latin typeface="BIZ UDPゴシック" panose="020B0400000000000000" pitchFamily="50" charset="-128"/>
              <a:ea typeface="BIZ UDPゴシック" panose="020B0400000000000000" pitchFamily="50" charset="-128"/>
              <a:cs typeface="+mn-cs"/>
            </a:rPr>
            <a:t>三表</a:t>
          </a:r>
          <a:r>
            <a:rPr kumimoji="1" lang="ja-JP" altLang="ja-JP" sz="20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en-US" sz="2000">
              <a:solidFill>
                <a:schemeClr val="dk1"/>
              </a:solidFill>
              <a:effectLst/>
              <a:latin typeface="BIZ UDPゴシック" panose="020B0400000000000000" pitchFamily="50" charset="-128"/>
              <a:ea typeface="BIZ UDPゴシック" panose="020B0400000000000000" pitchFamily="50" charset="-128"/>
              <a:cs typeface="+mn-cs"/>
            </a:rPr>
            <a:t>）</a:t>
          </a:r>
          <a:endParaRPr kumimoji="1" lang="ja-JP" altLang="en-US" sz="2000">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222249</xdr:colOff>
      <xdr:row>36</xdr:row>
      <xdr:rowOff>95250</xdr:rowOff>
    </xdr:from>
    <xdr:to>
      <xdr:col>6</xdr:col>
      <xdr:colOff>257174</xdr:colOff>
      <xdr:row>79</xdr:row>
      <xdr:rowOff>142875</xdr:rowOff>
    </xdr:to>
    <xdr:grpSp>
      <xdr:nvGrpSpPr>
        <xdr:cNvPr id="5" name="グループ化 4">
          <a:extLst>
            <a:ext uri="{FF2B5EF4-FFF2-40B4-BE49-F238E27FC236}">
              <a16:creationId xmlns:a16="http://schemas.microsoft.com/office/drawing/2014/main" id="{C5506EDC-A02A-4AC8-AC3E-3D2C96CF8B27}"/>
            </a:ext>
          </a:extLst>
        </xdr:cNvPr>
        <xdr:cNvGrpSpPr/>
      </xdr:nvGrpSpPr>
      <xdr:grpSpPr>
        <a:xfrm>
          <a:off x="222249" y="6540500"/>
          <a:ext cx="7115175" cy="7146925"/>
          <a:chOff x="76201" y="5873005"/>
          <a:chExt cx="7737022" cy="8843867"/>
        </a:xfrm>
      </xdr:grpSpPr>
      <xdr:grpSp>
        <xdr:nvGrpSpPr>
          <xdr:cNvPr id="6" name="グループ化 22">
            <a:extLst>
              <a:ext uri="{FF2B5EF4-FFF2-40B4-BE49-F238E27FC236}">
                <a16:creationId xmlns:a16="http://schemas.microsoft.com/office/drawing/2014/main" id="{2A963297-419A-05EE-7B0F-1C751C946D71}"/>
              </a:ext>
            </a:extLst>
          </xdr:cNvPr>
          <xdr:cNvGrpSpPr>
            <a:grpSpLocks/>
          </xdr:cNvGrpSpPr>
        </xdr:nvGrpSpPr>
        <xdr:grpSpPr bwMode="auto">
          <a:xfrm>
            <a:off x="76201" y="6333490"/>
            <a:ext cx="5592868" cy="8383382"/>
            <a:chOff x="439513" y="4906451"/>
            <a:chExt cx="4627788" cy="6325942"/>
          </a:xfrm>
        </xdr:grpSpPr>
        <xdr:pic>
          <xdr:nvPicPr>
            <xdr:cNvPr id="15" name="図 1">
              <a:extLst>
                <a:ext uri="{FF2B5EF4-FFF2-40B4-BE49-F238E27FC236}">
                  <a16:creationId xmlns:a16="http://schemas.microsoft.com/office/drawing/2014/main" id="{E711DA9F-234C-3BB2-372F-72C321150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9513" y="4906451"/>
              <a:ext cx="4627788" cy="6325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6" name="正方形/長方形 15">
              <a:extLst>
                <a:ext uri="{FF2B5EF4-FFF2-40B4-BE49-F238E27FC236}">
                  <a16:creationId xmlns:a16="http://schemas.microsoft.com/office/drawing/2014/main" id="{413D99AF-8E66-FBD3-5611-2BE60342920A}"/>
                </a:ext>
              </a:extLst>
            </xdr:cNvPr>
            <xdr:cNvSpPr/>
          </xdr:nvSpPr>
          <xdr:spPr>
            <a:xfrm>
              <a:off x="696125" y="7595669"/>
              <a:ext cx="2057121" cy="1686862"/>
            </a:xfrm>
            <a:prstGeom prst="rect">
              <a:avLst/>
            </a:prstGeom>
            <a:noFill/>
            <a:ln w="508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xnSp macro="">
          <xdr:nvCxnSpPr>
            <xdr:cNvPr id="17" name="直線矢印コネクタ 16">
              <a:extLst>
                <a:ext uri="{FF2B5EF4-FFF2-40B4-BE49-F238E27FC236}">
                  <a16:creationId xmlns:a16="http://schemas.microsoft.com/office/drawing/2014/main" id="{00FFAB39-80E0-C610-7988-F06D8BC8E36D}"/>
                </a:ext>
              </a:extLst>
            </xdr:cNvPr>
            <xdr:cNvCxnSpPr>
              <a:stCxn id="16" idx="0"/>
            </xdr:cNvCxnSpPr>
          </xdr:nvCxnSpPr>
          <xdr:spPr>
            <a:xfrm flipV="1">
              <a:off x="1724687" y="6503136"/>
              <a:ext cx="1740523" cy="109253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7" name="テキスト ボックス 6">
            <a:extLst>
              <a:ext uri="{FF2B5EF4-FFF2-40B4-BE49-F238E27FC236}">
                <a16:creationId xmlns:a16="http://schemas.microsoft.com/office/drawing/2014/main" id="{12B6D4B4-47CB-9DDF-5CAC-3303B77D89BC}"/>
              </a:ext>
            </a:extLst>
          </xdr:cNvPr>
          <xdr:cNvSpPr txBox="1"/>
        </xdr:nvSpPr>
        <xdr:spPr>
          <a:xfrm>
            <a:off x="1831312" y="5873005"/>
            <a:ext cx="4239666" cy="545368"/>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dk1"/>
                </a:solidFill>
                <a:effectLst/>
                <a:latin typeface="BIZ UDPゴシック" panose="020B0400000000000000" pitchFamily="50" charset="-128"/>
                <a:ea typeface="BIZ UDPゴシック" panose="020B0400000000000000" pitchFamily="50" charset="-128"/>
                <a:cs typeface="+mn-cs"/>
              </a:rPr>
              <a:t>申告書　（</a:t>
            </a:r>
            <a:r>
              <a:rPr kumimoji="1" lang="ja-JP" altLang="en-US" sz="2000">
                <a:latin typeface="BIZ UDPゴシック" panose="020B0400000000000000" pitchFamily="50" charset="-128"/>
                <a:ea typeface="BIZ UDPゴシック" panose="020B0400000000000000" pitchFamily="50" charset="-128"/>
              </a:rPr>
              <a:t>第一表）</a:t>
            </a:r>
          </a:p>
        </xdr:txBody>
      </xdr:sp>
      <xdr:grpSp>
        <xdr:nvGrpSpPr>
          <xdr:cNvPr id="8" name="グループ化 7">
            <a:extLst>
              <a:ext uri="{FF2B5EF4-FFF2-40B4-BE49-F238E27FC236}">
                <a16:creationId xmlns:a16="http://schemas.microsoft.com/office/drawing/2014/main" id="{E30178DC-A19E-92E8-6A2E-CD70BEEA930B}"/>
              </a:ext>
            </a:extLst>
          </xdr:cNvPr>
          <xdr:cNvGrpSpPr/>
        </xdr:nvGrpSpPr>
        <xdr:grpSpPr>
          <a:xfrm>
            <a:off x="3697745" y="6783117"/>
            <a:ext cx="4115478" cy="3457235"/>
            <a:chOff x="3657972" y="6387708"/>
            <a:chExt cx="4520428" cy="3630912"/>
          </a:xfrm>
        </xdr:grpSpPr>
        <xdr:grpSp>
          <xdr:nvGrpSpPr>
            <xdr:cNvPr id="9" name="グループ化 8">
              <a:extLst>
                <a:ext uri="{FF2B5EF4-FFF2-40B4-BE49-F238E27FC236}">
                  <a16:creationId xmlns:a16="http://schemas.microsoft.com/office/drawing/2014/main" id="{B4E7663D-D0A1-CE38-2720-46D3CC2645BC}"/>
                </a:ext>
              </a:extLst>
            </xdr:cNvPr>
            <xdr:cNvGrpSpPr/>
          </xdr:nvGrpSpPr>
          <xdr:grpSpPr>
            <a:xfrm>
              <a:off x="3657972" y="6387708"/>
              <a:ext cx="4520428" cy="3630912"/>
              <a:chOff x="5830894" y="6273653"/>
              <a:chExt cx="4526778" cy="3630912"/>
            </a:xfrm>
          </xdr:grpSpPr>
          <xdr:pic>
            <xdr:nvPicPr>
              <xdr:cNvPr id="11" name="図 1">
                <a:extLst>
                  <a:ext uri="{FF2B5EF4-FFF2-40B4-BE49-F238E27FC236}">
                    <a16:creationId xmlns:a16="http://schemas.microsoft.com/office/drawing/2014/main" id="{6B7CC77B-2888-6118-A967-84C64FF753D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1820" r="2220"/>
              <a:stretch>
                <a:fillRect/>
              </a:stretch>
            </xdr:blipFill>
            <xdr:spPr bwMode="auto">
              <a:xfrm>
                <a:off x="5830894" y="6273653"/>
                <a:ext cx="4526778" cy="3630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2" name="正方形/長方形 11">
                <a:extLst>
                  <a:ext uri="{FF2B5EF4-FFF2-40B4-BE49-F238E27FC236}">
                    <a16:creationId xmlns:a16="http://schemas.microsoft.com/office/drawing/2014/main" id="{382223F2-B681-FE84-FB96-B009370B7FD5}"/>
                  </a:ext>
                </a:extLst>
              </xdr:cNvPr>
              <xdr:cNvSpPr/>
            </xdr:nvSpPr>
            <xdr:spPr bwMode="auto">
              <a:xfrm>
                <a:off x="6105914" y="6278956"/>
                <a:ext cx="4190545" cy="1530497"/>
              </a:xfrm>
              <a:prstGeom prst="rect">
                <a:avLst/>
              </a:prstGeom>
              <a:solidFill>
                <a:srgbClr val="FFFF00">
                  <a:alpha val="30000"/>
                </a:srgbClr>
              </a:solidFill>
              <a:ln w="508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3" name="正方形/長方形 12">
                <a:extLst>
                  <a:ext uri="{FF2B5EF4-FFF2-40B4-BE49-F238E27FC236}">
                    <a16:creationId xmlns:a16="http://schemas.microsoft.com/office/drawing/2014/main" id="{899C67F6-4662-3097-75FB-8B659D0C19D6}"/>
                  </a:ext>
                </a:extLst>
              </xdr:cNvPr>
              <xdr:cNvSpPr/>
            </xdr:nvSpPr>
            <xdr:spPr bwMode="auto">
              <a:xfrm>
                <a:off x="6105918" y="8392014"/>
                <a:ext cx="4181081" cy="581270"/>
              </a:xfrm>
              <a:prstGeom prst="rect">
                <a:avLst/>
              </a:prstGeom>
              <a:solidFill>
                <a:srgbClr val="FFFF00">
                  <a:alpha val="30000"/>
                </a:srgbClr>
              </a:solidFill>
              <a:ln w="508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4" name="正方形/長方形 13">
                <a:extLst>
                  <a:ext uri="{FF2B5EF4-FFF2-40B4-BE49-F238E27FC236}">
                    <a16:creationId xmlns:a16="http://schemas.microsoft.com/office/drawing/2014/main" id="{EC660231-A659-CE83-3DCA-E9BF8EAA6673}"/>
                  </a:ext>
                </a:extLst>
              </xdr:cNvPr>
              <xdr:cNvSpPr/>
            </xdr:nvSpPr>
            <xdr:spPr bwMode="auto">
              <a:xfrm>
                <a:off x="6116998" y="9242569"/>
                <a:ext cx="4176075" cy="342667"/>
              </a:xfrm>
              <a:prstGeom prst="rect">
                <a:avLst/>
              </a:prstGeom>
              <a:solidFill>
                <a:srgbClr val="FFFF00">
                  <a:alpha val="30000"/>
                </a:srgbClr>
              </a:solidFill>
              <a:ln w="508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sp macro="" textlink="">
          <xdr:nvSpPr>
            <xdr:cNvPr id="10" name="正方形/長方形 9">
              <a:extLst>
                <a:ext uri="{FF2B5EF4-FFF2-40B4-BE49-F238E27FC236}">
                  <a16:creationId xmlns:a16="http://schemas.microsoft.com/office/drawing/2014/main" id="{D5545351-EC54-C5E1-A685-EFABEECA9C93}"/>
                </a:ext>
              </a:extLst>
            </xdr:cNvPr>
            <xdr:cNvSpPr/>
          </xdr:nvSpPr>
          <xdr:spPr bwMode="auto">
            <a:xfrm>
              <a:off x="3937594" y="9686663"/>
              <a:ext cx="4179863" cy="290234"/>
            </a:xfrm>
            <a:prstGeom prst="rect">
              <a:avLst/>
            </a:prstGeom>
            <a:noFill/>
            <a:ln w="508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grpSp>
    <xdr:clientData/>
  </xdr:twoCellAnchor>
  <xdr:twoCellAnchor editAs="absolute">
    <xdr:from>
      <xdr:col>8</xdr:col>
      <xdr:colOff>67309</xdr:colOff>
      <xdr:row>0</xdr:row>
      <xdr:rowOff>142240</xdr:rowOff>
    </xdr:from>
    <xdr:to>
      <xdr:col>8</xdr:col>
      <xdr:colOff>903604</xdr:colOff>
      <xdr:row>2</xdr:row>
      <xdr:rowOff>216757</xdr:rowOff>
    </xdr:to>
    <xdr:sp macro="" textlink="">
      <xdr:nvSpPr>
        <xdr:cNvPr id="18" name="四角形: 角度付き 23">
          <a:hlinkClick xmlns:r="http://schemas.openxmlformats.org/officeDocument/2006/relationships" r:id="rId4"/>
          <a:extLst>
            <a:ext uri="{FF2B5EF4-FFF2-40B4-BE49-F238E27FC236}">
              <a16:creationId xmlns:a16="http://schemas.microsoft.com/office/drawing/2014/main" id="{3489627D-A23F-4694-9B2E-2B6DCE792EB7}"/>
            </a:ext>
          </a:extLst>
        </xdr:cNvPr>
        <xdr:cNvSpPr>
          <a:spLocks noChangeAspect="1"/>
        </xdr:cNvSpPr>
      </xdr:nvSpPr>
      <xdr:spPr>
        <a:xfrm>
          <a:off x="8971279" y="140335"/>
          <a:ext cx="836295" cy="548862"/>
        </a:xfrm>
        <a:prstGeom prst="bevel">
          <a:avLst/>
        </a:prstGeom>
        <a:solidFill>
          <a:srgbClr val="00B0F0"/>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lIns="91440" tIns="90000" rIns="91440" bIns="45720" rtlCol="0" anchor="t"/>
        <a:lstStyle/>
        <a:p>
          <a:pPr algn="ctr"/>
          <a:r>
            <a:rPr lang="ja-JP" altLang="en-US" sz="1400" b="1" baseline="0">
              <a:solidFill>
                <a:schemeClr val="bg1"/>
              </a:solidFill>
              <a:latin typeface="BIZ UDPゴシック" panose="020B0400000000000000" pitchFamily="50" charset="-128"/>
              <a:ea typeface="BIZ UDPゴシック" panose="020B0400000000000000" pitchFamily="50" charset="-128"/>
            </a:rPr>
            <a:t>戻る</a:t>
          </a:r>
        </a:p>
      </xdr:txBody>
    </xdr:sp>
    <xdr:clientData/>
  </xdr:twoCellAnchor>
  <xdr:twoCellAnchor>
    <xdr:from>
      <xdr:col>0</xdr:col>
      <xdr:colOff>473981</xdr:colOff>
      <xdr:row>61</xdr:row>
      <xdr:rowOff>140153</xdr:rowOff>
    </xdr:from>
    <xdr:to>
      <xdr:col>6</xdr:col>
      <xdr:colOff>304347</xdr:colOff>
      <xdr:row>119</xdr:row>
      <xdr:rowOff>135163</xdr:rowOff>
    </xdr:to>
    <xdr:sp macro="" textlink="">
      <xdr:nvSpPr>
        <xdr:cNvPr id="19" name="四角形: 角を丸くする 18">
          <a:extLst>
            <a:ext uri="{FF2B5EF4-FFF2-40B4-BE49-F238E27FC236}">
              <a16:creationId xmlns:a16="http://schemas.microsoft.com/office/drawing/2014/main" id="{DF997792-F0C7-4BCB-8763-5493D1BEFB6B}"/>
            </a:ext>
          </a:extLst>
        </xdr:cNvPr>
        <xdr:cNvSpPr/>
      </xdr:nvSpPr>
      <xdr:spPr bwMode="auto">
        <a:xfrm>
          <a:off x="477791" y="10537643"/>
          <a:ext cx="6779806" cy="9958160"/>
        </a:xfrm>
        <a:prstGeom prst="roundRect">
          <a:avLst>
            <a:gd name="adj" fmla="val 3286"/>
          </a:avLst>
        </a:prstGeom>
        <a:solidFill>
          <a:srgbClr val="FFFF66"/>
        </a:solidFill>
        <a:ln w="95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lstStyle/>
        <a:p>
          <a:pPr rtl="0"/>
          <a:r>
            <a:rPr lang="en-US" altLang="ja-JP" sz="14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400" b="0" i="0" baseline="0">
              <a:solidFill>
                <a:schemeClr val="tx1"/>
              </a:solidFill>
              <a:effectLst/>
              <a:latin typeface="BIZ UDPゴシック" panose="020B0400000000000000" pitchFamily="50" charset="-128"/>
              <a:ea typeface="BIZ UDPゴシック" panose="020B0400000000000000" pitchFamily="50" charset="-128"/>
              <a:cs typeface="+mn-cs"/>
            </a:rPr>
            <a:t>１　　③  「 その他所得 」  申告書　（第一表）　について</a:t>
          </a:r>
          <a:endParaRPr lang="en-US" altLang="ja-JP" sz="1400" b="0" i="0" baseline="0">
            <a:solidFill>
              <a:schemeClr val="tx1"/>
            </a:solidFill>
            <a:effectLst/>
            <a:latin typeface="BIZ UDPゴシック" panose="020B0400000000000000" pitchFamily="50" charset="-128"/>
            <a:ea typeface="BIZ UDPゴシック" panose="020B0400000000000000" pitchFamily="50" charset="-128"/>
            <a:cs typeface="+mn-cs"/>
          </a:endParaRPr>
        </a:p>
        <a:p>
          <a:pPr rtl="0"/>
          <a:r>
            <a:rPr lang="ja-JP" altLang="ja-JP" sz="1400" b="0" i="0" baseline="0">
              <a:solidFill>
                <a:schemeClr val="tx1"/>
              </a:solidFill>
              <a:effectLst/>
              <a:latin typeface="BIZ UDPゴシック" panose="020B0400000000000000" pitchFamily="50" charset="-128"/>
              <a:ea typeface="BIZ UDPゴシック" panose="020B0400000000000000" pitchFamily="50" charset="-128"/>
              <a:cs typeface="+mn-cs"/>
            </a:rPr>
            <a:t>　</a:t>
          </a:r>
          <a:endParaRPr lang="ja-JP" altLang="ja-JP" sz="1400">
            <a:solidFill>
              <a:schemeClr val="tx1"/>
            </a:solidFill>
            <a:effectLst/>
            <a:latin typeface="BIZ UDPゴシック" panose="020B0400000000000000" pitchFamily="50" charset="-128"/>
            <a:ea typeface="BIZ UDPゴシック" panose="020B0400000000000000" pitchFamily="50" charset="-128"/>
          </a:endParaRPr>
        </a:p>
        <a:p>
          <a:pPr rtl="0"/>
          <a:r>
            <a:rPr lang="ja-JP" altLang="ja-JP" sz="14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4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400" b="0" i="0" baseline="0">
              <a:solidFill>
                <a:schemeClr val="tx1"/>
              </a:solidFill>
              <a:effectLst/>
              <a:latin typeface="BIZ UDPゴシック" panose="020B0400000000000000" pitchFamily="50" charset="-128"/>
              <a:ea typeface="BIZ UDPゴシック" panose="020B0400000000000000" pitchFamily="50" charset="-128"/>
              <a:cs typeface="+mn-cs"/>
            </a:rPr>
            <a:t> 「 計算シート 」 の 「 ③ その他所得</a:t>
          </a:r>
          <a:r>
            <a:rPr lang="en-US" altLang="ja-JP" sz="14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400" b="0" i="0" baseline="0">
              <a:solidFill>
                <a:schemeClr val="tx1"/>
              </a:solidFill>
              <a:effectLst/>
              <a:latin typeface="BIZ UDPゴシック" panose="020B0400000000000000" pitchFamily="50" charset="-128"/>
              <a:ea typeface="BIZ UDPゴシック" panose="020B0400000000000000" pitchFamily="50" charset="-128"/>
              <a:cs typeface="+mn-cs"/>
            </a:rPr>
            <a:t>」</a:t>
          </a:r>
          <a:r>
            <a:rPr lang="en-US" altLang="ja-JP" sz="14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400" b="0" i="0" baseline="0">
              <a:solidFill>
                <a:schemeClr val="tx1"/>
              </a:solidFill>
              <a:effectLst/>
              <a:latin typeface="BIZ UDPゴシック" panose="020B0400000000000000" pitchFamily="50" charset="-128"/>
              <a:ea typeface="BIZ UDPゴシック" panose="020B0400000000000000" pitchFamily="50" charset="-128"/>
              <a:cs typeface="+mn-cs"/>
            </a:rPr>
            <a:t>欄  には、次の金額を入力してください。</a:t>
          </a:r>
          <a:endParaRPr lang="en-US" altLang="ja-JP" sz="1400" b="0" i="0" baseline="0">
            <a:solidFill>
              <a:schemeClr val="tx1"/>
            </a:solidFill>
            <a:effectLst/>
            <a:latin typeface="BIZ UDPゴシック" panose="020B0400000000000000" pitchFamily="50" charset="-128"/>
            <a:ea typeface="BIZ UDPゴシック" panose="020B0400000000000000" pitchFamily="50" charset="-128"/>
            <a:cs typeface="+mn-cs"/>
          </a:endParaRPr>
        </a:p>
        <a:p>
          <a:pPr rtl="0"/>
          <a:endParaRPr lang="ja-JP" altLang="ja-JP" sz="14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400" b="1">
              <a:solidFill>
                <a:schemeClr val="tx1"/>
              </a:solidFill>
              <a:effectLst/>
              <a:latin typeface="BIZ UDPゴシック" panose="020B0400000000000000" pitchFamily="50" charset="-128"/>
              <a:ea typeface="BIZ UDPゴシック" panose="020B0400000000000000" pitchFamily="50" charset="-128"/>
              <a:cs typeface="+mn-cs"/>
            </a:rPr>
            <a:t>  ○ 　</a:t>
          </a:r>
          <a:r>
            <a:rPr lang="ja-JP" altLang="ja-JP" sz="1200" b="1">
              <a:solidFill>
                <a:schemeClr val="tx1"/>
              </a:solidFill>
              <a:effectLst/>
              <a:latin typeface="BIZ UDPゴシック" panose="020B0400000000000000" pitchFamily="50" charset="-128"/>
              <a:ea typeface="BIZ UDPゴシック" panose="020B0400000000000000" pitchFamily="50" charset="-128"/>
              <a:cs typeface="+mn-cs"/>
            </a:rPr>
            <a:t>「 総合課税分</a:t>
          </a:r>
          <a:r>
            <a:rPr lang="ja-JP" altLang="ja-JP" sz="1200" b="1"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該当する方のみ）</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その他所得 （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給与や年金収入以外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欄の所得割で使用する所得金額　　</a:t>
          </a:r>
          <a:endParaRPr lang="en-US" altLang="ja-JP" sz="1200" b="0">
            <a:solidFill>
              <a:schemeClr val="tx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200" b="1">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所得金額等合計</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⑫</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　 「 給与所得</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⑥</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 公的年金等</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⑦</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  ⑩ 雑所得が赤字の場合　 ① ～ ⑤ の合計 ＋ ⑧ ＋ ⑨ ＋ ⑪  ）</a:t>
          </a:r>
          <a:endPar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給与収入や年金収入は、「 計算シート</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の 「 ① 給与収入</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欄と　「 ②</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年金収入</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欄で</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入力するため差し引きます。</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① 、 ② 、 ③ 、 ⑪ 」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が赤字の場合は、 損益通算の対象となるため　「 マイナス値 」</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として合計してください。 「－」 は必ず半角入力してください。</a:t>
          </a:r>
          <a:endPar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この金額は、総合課税内で行われる損益通算 （事業所得・</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不動産所得・</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譲渡所得等） や</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申告書第四表 （ 損失申告用 ） で行われる純損失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( 3</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年間繰越可 ） や雑損控除を</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を反映した所得金額です。</a:t>
          </a:r>
          <a:endParaRPr lang="en-US" altLang="ja-JP" sz="1200" b="0">
            <a:solidFill>
              <a:schemeClr val="tx1"/>
            </a:solidFill>
            <a:effectLst/>
            <a:latin typeface="BIZ UDPゴシック" panose="020B0400000000000000" pitchFamily="50" charset="-128"/>
            <a:ea typeface="BIZ UDPゴシック" panose="020B0400000000000000" pitchFamily="50" charset="-128"/>
            <a:cs typeface="+mn-cs"/>
          </a:endParaRPr>
        </a:p>
        <a:p>
          <a:endParaRPr lang="en-US" altLang="ja-JP" sz="1200" b="0">
            <a:solidFill>
              <a:schemeClr val="tx1"/>
            </a:solidFill>
            <a:effectLst/>
            <a:latin typeface="BIZ UDPゴシック" panose="020B0400000000000000" pitchFamily="50" charset="-128"/>
            <a:ea typeface="BIZ UDPゴシック" panose="020B0400000000000000" pitchFamily="50" charset="-128"/>
            <a:cs typeface="+mn-cs"/>
          </a:endParaRPr>
        </a:p>
        <a:p>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総合課税の</a:t>
          </a:r>
          <a:r>
            <a:rPr lang="ja-JP" altLang="ja-JP" sz="1200" b="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所得金額等合計 ⑫</a:t>
          </a:r>
          <a:r>
            <a:rPr lang="ja-JP" altLang="ja-JP" sz="1200" b="0" baseline="0">
              <a:solidFill>
                <a:schemeClr val="tx1"/>
              </a:solidFill>
              <a:effectLst/>
              <a:latin typeface="BIZ UDPゴシック" panose="020B0400000000000000" pitchFamily="50" charset="-128"/>
              <a:ea typeface="BIZ UDPゴシック" panose="020B0400000000000000" pitchFamily="50" charset="-128"/>
              <a:cs typeface="+mn-cs"/>
            </a:rPr>
            <a:t> 」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が</a:t>
          </a:r>
          <a:r>
            <a:rPr lang="ja-JP" altLang="ja-JP" sz="1200" b="0" u="sng">
              <a:solidFill>
                <a:schemeClr val="tx1"/>
              </a:solidFill>
              <a:effectLst/>
              <a:latin typeface="BIZ UDPゴシック" panose="020B0400000000000000" pitchFamily="50" charset="-128"/>
              <a:ea typeface="BIZ UDPゴシック" panose="020B0400000000000000" pitchFamily="50" charset="-128"/>
              <a:cs typeface="+mn-cs"/>
            </a:rPr>
            <a:t>赤字であり、かつ、分離課税がある方のみ</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その損失を翌年以降に繰越できる場合（雑所得の赤字は不可）がありますが、</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u="sng">
              <a:solidFill>
                <a:schemeClr val="tx1"/>
              </a:solidFill>
              <a:effectLst/>
              <a:latin typeface="BIZ UDPゴシック" panose="020B0400000000000000" pitchFamily="50" charset="-128"/>
              <a:ea typeface="BIZ UDPゴシック" panose="020B0400000000000000" pitchFamily="50" charset="-128"/>
              <a:cs typeface="+mn-cs"/>
            </a:rPr>
            <a:t>分離課税の所得金額とは通算できません。</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このため、今回の仮計算では総合課税の所得金額を　「</a:t>
          </a:r>
          <a:r>
            <a:rPr lang="ja-JP" altLang="ja-JP" sz="1200" b="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０</a:t>
          </a:r>
          <a:r>
            <a:rPr lang="ja-JP" altLang="ja-JP" sz="1200" b="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として扱います。</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分離</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課税の所得金額と合算するときは、</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 ① 給与収入</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欄と　「 ②</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年金収入</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欄で</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計算された給与・年金の所得分を差し引く必要があるため、</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③ その他所得</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欄 には、次の金額を 「 マイナス値 」 として含めて入力てください。</a:t>
          </a:r>
          <a:endPar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endParaRPr>
        </a:p>
        <a:p>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マイナス　</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給与所得</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⑥</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 「 公的年金等</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⑦</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1" i="0" u="sng" baseline="0">
              <a:solidFill>
                <a:schemeClr val="tx1"/>
              </a:solidFill>
              <a:effectLst/>
              <a:latin typeface="BIZ UDPゴシック" panose="020B0400000000000000" pitchFamily="50" charset="-128"/>
              <a:ea typeface="BIZ UDPゴシック" panose="020B0400000000000000" pitchFamily="50" charset="-128"/>
              <a:cs typeface="+mn-cs"/>
            </a:rPr>
            <a:t>)</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400" b="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400" b="0" baseline="0">
              <a:solidFill>
                <a:schemeClr val="tx1"/>
              </a:solidFill>
              <a:effectLst/>
              <a:latin typeface="BIZ UDPゴシック" panose="020B0400000000000000" pitchFamily="50" charset="-128"/>
              <a:ea typeface="BIZ UDPゴシック" panose="020B0400000000000000" pitchFamily="50" charset="-128"/>
              <a:cs typeface="+mn-cs"/>
            </a:rPr>
            <a:t> </a:t>
          </a:r>
        </a:p>
        <a:p>
          <a:endParaRPr lang="ja-JP" altLang="ja-JP" sz="1400">
            <a:solidFill>
              <a:schemeClr val="tx1"/>
            </a:solidFill>
            <a:effectLst/>
            <a:latin typeface="BIZ UDPゴシック" panose="020B0400000000000000" pitchFamily="50" charset="-128"/>
            <a:ea typeface="BIZ UDPゴシック" panose="020B0400000000000000" pitchFamily="50" charset="-128"/>
          </a:endParaRPr>
        </a:p>
        <a:p>
          <a:r>
            <a:rPr lang="ja-JP" altLang="ja-JP" sz="1400" b="1">
              <a:solidFill>
                <a:schemeClr val="tx1"/>
              </a:solidFill>
              <a:effectLst/>
              <a:latin typeface="BIZ UDPゴシック" panose="020B0400000000000000" pitchFamily="50" charset="-128"/>
              <a:ea typeface="BIZ UDPゴシック" panose="020B0400000000000000" pitchFamily="50" charset="-128"/>
              <a:cs typeface="+mn-cs"/>
            </a:rPr>
            <a:t>  〇　</a:t>
          </a:r>
          <a:r>
            <a:rPr lang="ja-JP" altLang="ja-JP" sz="1200" b="1">
              <a:solidFill>
                <a:schemeClr val="tx1"/>
              </a:solidFill>
              <a:effectLst/>
              <a:latin typeface="BIZ UDPゴシック" panose="020B0400000000000000" pitchFamily="50" charset="-128"/>
              <a:ea typeface="BIZ UDPゴシック" panose="020B0400000000000000" pitchFamily="50" charset="-128"/>
              <a:cs typeface="+mn-cs"/>
            </a:rPr>
            <a:t>軽減判定で使用する所得金額　　「 総所得所得金額等</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 　</a:t>
          </a:r>
          <a:endParaRPr lang="en-US" altLang="ja-JP" sz="1200" b="0">
            <a:solidFill>
              <a:schemeClr val="tx1"/>
            </a:solidFill>
            <a:effectLst/>
            <a:latin typeface="BIZ UDPゴシック" panose="020B0400000000000000" pitchFamily="50" charset="-128"/>
            <a:ea typeface="BIZ UDPゴシック" panose="020B0400000000000000" pitchFamily="50" charset="-128"/>
            <a:cs typeface="+mn-cs"/>
          </a:endParaRPr>
        </a:p>
        <a:p>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a:solidFill>
                <a:schemeClr val="tx1"/>
              </a:solidFill>
              <a:effectLst/>
              <a:latin typeface="BIZ UDPゴシック" panose="020B0400000000000000" pitchFamily="50" charset="-128"/>
              <a:ea typeface="BIZ UDPゴシック" panose="020B0400000000000000" pitchFamily="50" charset="-128"/>
              <a:cs typeface="+mn-cs"/>
            </a:rPr>
            <a:t>総所得金額 （総合課税分） </a:t>
          </a:r>
          <a:r>
            <a:rPr lang="ja-JP" altLang="ja-JP" sz="1200" b="1"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分離課税分の所得金額　＋　</a:t>
          </a:r>
          <a:r>
            <a:rPr lang="ja-JP" altLang="ja-JP" sz="1200" b="1" baseline="0">
              <a:solidFill>
                <a:schemeClr val="tx1"/>
              </a:solidFill>
              <a:effectLst/>
              <a:latin typeface="BIZ UDPゴシック" panose="020B0400000000000000" pitchFamily="50" charset="-128"/>
              <a:ea typeface="BIZ UDPゴシック" panose="020B0400000000000000" pitchFamily="50" charset="-128"/>
              <a:cs typeface="+mn-cs"/>
            </a:rPr>
            <a:t>山林所得</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en-US"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第一表 </a:t>
          </a:r>
          <a:r>
            <a:rPr lang="en-US"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第三表 ）</a:t>
          </a:r>
          <a:r>
            <a:rPr lang="en-US" altLang="ja-JP" sz="1200" b="1" i="0" baseline="0">
              <a:solidFill>
                <a:schemeClr val="tx1"/>
              </a:solidFill>
              <a:effectLst/>
              <a:latin typeface="BIZ UDPゴシック" panose="020B0400000000000000" pitchFamily="50" charset="-128"/>
              <a:ea typeface="BIZ UDPゴシック" panose="020B0400000000000000" pitchFamily="50" charset="-128"/>
              <a:cs typeface="+mn-cs"/>
            </a:rPr>
            <a:t>  </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400" b="0">
              <a:solidFill>
                <a:schemeClr val="tx1"/>
              </a:solidFill>
              <a:effectLst/>
              <a:latin typeface="BIZ UDPゴシック" panose="020B0400000000000000" pitchFamily="50" charset="-128"/>
              <a:ea typeface="BIZ UDPゴシック" panose="020B0400000000000000" pitchFamily="50" charset="-128"/>
              <a:cs typeface="+mn-cs"/>
            </a:rPr>
            <a:t>　</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u="sng" baseline="0">
              <a:solidFill>
                <a:schemeClr val="tx1"/>
              </a:solidFill>
              <a:effectLst/>
              <a:latin typeface="BIZ UDPゴシック" panose="020B0400000000000000" pitchFamily="50" charset="-128"/>
              <a:ea typeface="BIZ UDPゴシック" panose="020B0400000000000000" pitchFamily="50" charset="-128"/>
              <a:cs typeface="+mn-cs"/>
            </a:rPr>
            <a:t>「 専従者控除額 」　がある場合の入力方法</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en-US"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国民健康保険税の所得割は　「 専従者控除</a:t>
          </a:r>
          <a:r>
            <a:rPr lang="ja-JP" altLang="ja-JP" sz="1200" b="0" i="0" u="sng" baseline="0">
              <a:solidFill>
                <a:schemeClr val="tx1"/>
              </a:solidFill>
              <a:effectLst/>
              <a:latin typeface="BIZ UDPゴシック" panose="020B0400000000000000" pitchFamily="50" charset="-128"/>
              <a:ea typeface="BIZ UDPゴシック" panose="020B0400000000000000" pitchFamily="50" charset="-128"/>
              <a:cs typeface="+mn-cs"/>
            </a:rPr>
            <a:t>適用後</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の所得金額　」　で計算します。</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en-US"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このため、</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③</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その他所得</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欄には　「 専従者控除</a:t>
          </a:r>
          <a:r>
            <a:rPr lang="ja-JP" altLang="ja-JP" sz="1200" b="0" u="sng">
              <a:solidFill>
                <a:schemeClr val="tx1"/>
              </a:solidFill>
              <a:effectLst/>
              <a:latin typeface="BIZ UDPゴシック" panose="020B0400000000000000" pitchFamily="50" charset="-128"/>
              <a:ea typeface="BIZ UDPゴシック" panose="020B0400000000000000" pitchFamily="50" charset="-128"/>
              <a:cs typeface="+mn-cs"/>
            </a:rPr>
            <a:t>適用後</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の所得金額 」　を入力し、</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en-US"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下段の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専従者控除額、特別控除額 」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欄には</a:t>
          </a:r>
          <a:r>
            <a:rPr lang="ja-JP" altLang="en-US" sz="1200" b="0">
              <a:solidFill>
                <a:schemeClr val="tx1"/>
              </a:solidFill>
              <a:effectLst/>
              <a:latin typeface="BIZ UDPゴシック" panose="020B0400000000000000" pitchFamily="50" charset="-128"/>
              <a:ea typeface="BIZ UDPゴシック" panose="020B0400000000000000" pitchFamily="50" charset="-128"/>
              <a:cs typeface="+mn-cs"/>
            </a:rPr>
            <a:t>、</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総所得所得金額等 」 の金額に戻すため</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en-US"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 専従者控除額 」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と同額を </a:t>
          </a:r>
          <a:r>
            <a:rPr lang="ja-JP" altLang="ja-JP" sz="1200" b="1">
              <a:solidFill>
                <a:schemeClr val="tx1"/>
              </a:solidFill>
              <a:effectLst/>
              <a:latin typeface="BIZ UDPゴシック" panose="020B0400000000000000" pitchFamily="50" charset="-128"/>
              <a:ea typeface="BIZ UDPゴシック" panose="020B0400000000000000" pitchFamily="50" charset="-128"/>
              <a:cs typeface="+mn-cs"/>
            </a:rPr>
            <a:t>「 プラス値 」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で入力してください。</a:t>
          </a:r>
          <a:endParaRPr lang="en-US" altLang="ja-JP" sz="1200" b="0">
            <a:solidFill>
              <a:schemeClr val="tx1"/>
            </a:solidFill>
            <a:effectLst/>
            <a:latin typeface="BIZ UDPゴシック" panose="020B0400000000000000" pitchFamily="50" charset="-128"/>
            <a:ea typeface="BIZ UDPゴシック" panose="020B0400000000000000" pitchFamily="50" charset="-128"/>
            <a:cs typeface="+mn-cs"/>
          </a:endParaRPr>
        </a:p>
        <a:p>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en-US" sz="1200" b="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申告書</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a:t>
          </a:r>
          <a:r>
            <a:rPr lang="en-US" altLang="ja-JP" sz="1200" b="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baseline="0">
              <a:solidFill>
                <a:schemeClr val="tx1"/>
              </a:solidFill>
              <a:effectLst/>
              <a:latin typeface="BIZ UDPゴシック" panose="020B0400000000000000" pitchFamily="50" charset="-128"/>
              <a:ea typeface="BIZ UDPゴシック" panose="020B0400000000000000" pitchFamily="50" charset="-128"/>
              <a:cs typeface="+mn-cs"/>
            </a:rPr>
            <a:t>分離課税用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第三表</a:t>
          </a:r>
          <a:r>
            <a:rPr lang="en-US" altLang="ja-JP" sz="1200" b="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a:solidFill>
                <a:schemeClr val="tx1"/>
              </a:solidFill>
              <a:effectLst/>
              <a:latin typeface="BIZ UDPゴシック" panose="020B0400000000000000" pitchFamily="50" charset="-128"/>
              <a:ea typeface="BIZ UDPゴシック" panose="020B0400000000000000" pitchFamily="50" charset="-128"/>
              <a:cs typeface="+mn-cs"/>
            </a:rPr>
            <a:t>でも申告のある方は、上記の２つの記入欄には、</a:t>
          </a:r>
          <a:endParaRPr lang="ja-JP" altLang="ja-JP" sz="12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en-US" sz="1200" b="0"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ja-JP" sz="1200" b="0" i="0" baseline="0">
              <a:solidFill>
                <a:schemeClr val="tx1"/>
              </a:solidFill>
              <a:effectLst/>
              <a:latin typeface="BIZ UDPゴシック" panose="020B0400000000000000" pitchFamily="50" charset="-128"/>
              <a:ea typeface="BIZ UDPゴシック" panose="020B0400000000000000" pitchFamily="50" charset="-128"/>
              <a:cs typeface="+mn-cs"/>
            </a:rPr>
            <a:t> それぞれ第三表の金額と合計した金額を入力してください。</a:t>
          </a:r>
          <a:endParaRPr lang="en-US" altLang="ja-JP" sz="1200" b="0" i="0" baseline="0">
            <a:solidFill>
              <a:schemeClr val="tx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endParaRPr lang="ja-JP" altLang="ja-JP" sz="1400">
            <a:solidFill>
              <a:schemeClr val="tx1"/>
            </a:solidFill>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6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6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ja-JP" altLang="en-US" sz="1600" b="1" i="0" baseline="0">
              <a:solidFill>
                <a:schemeClr val="tx1"/>
              </a:solidFill>
              <a:effectLst/>
              <a:latin typeface="BIZ UDPゴシック" panose="020B0400000000000000" pitchFamily="50" charset="-128"/>
              <a:ea typeface="BIZ UDPゴシック" panose="020B0400000000000000" pitchFamily="50" charset="-128"/>
              <a:cs typeface="+mn-cs"/>
            </a:rPr>
            <a:t>　</a:t>
          </a:r>
          <a:r>
            <a:rPr lang="en-US" altLang="ja-JP" sz="1600" b="1" i="0" u="sng" baseline="0">
              <a:solidFill>
                <a:schemeClr val="tx1"/>
              </a:solidFill>
              <a:effectLst/>
              <a:latin typeface="BIZ UDPゴシック" panose="020B0400000000000000" pitchFamily="50" charset="-128"/>
              <a:ea typeface="BIZ UDPゴシック" panose="020B0400000000000000" pitchFamily="50" charset="-128"/>
              <a:cs typeface="+mn-cs"/>
            </a:rPr>
            <a:t>※</a:t>
          </a:r>
          <a:r>
            <a:rPr lang="ja-JP" altLang="ja-JP" sz="1600" b="1" i="0" u="sng" baseline="0">
              <a:solidFill>
                <a:schemeClr val="tx1"/>
              </a:solidFill>
              <a:effectLst/>
              <a:latin typeface="BIZ UDPゴシック" panose="020B0400000000000000" pitchFamily="50" charset="-128"/>
              <a:ea typeface="BIZ UDPゴシック" panose="020B0400000000000000" pitchFamily="50" charset="-128"/>
              <a:cs typeface="+mn-cs"/>
            </a:rPr>
            <a:t> 確定申告に関するご不明な点は、税務署へご確認ください。</a:t>
          </a:r>
          <a:endParaRPr lang="ja-JP" altLang="ja-JP" sz="1600" b="1">
            <a:solidFill>
              <a:schemeClr val="tx1"/>
            </a:solidFill>
            <a:effectLst/>
            <a:latin typeface="BIZ UDPゴシック" panose="020B0400000000000000" pitchFamily="50" charset="-128"/>
            <a:ea typeface="BIZ UDPゴシック" panose="020B0400000000000000" pitchFamily="50" charset="-128"/>
          </a:endParaRPr>
        </a:p>
        <a:p>
          <a:pPr algn="l" rtl="0">
            <a:lnSpc>
              <a:spcPts val="1300"/>
            </a:lnSpc>
          </a:pPr>
          <a:endParaRPr kumimoji="1" lang="ja-JP" altLang="en-US" sz="1200" b="0" i="0" u="none" strike="noStrike" baseline="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49373</xdr:colOff>
      <xdr:row>87</xdr:row>
      <xdr:rowOff>40820</xdr:rowOff>
    </xdr:from>
    <xdr:to>
      <xdr:col>6</xdr:col>
      <xdr:colOff>0</xdr:colOff>
      <xdr:row>113</xdr:row>
      <xdr:rowOff>46716</xdr:rowOff>
    </xdr:to>
    <xdr:grpSp>
      <xdr:nvGrpSpPr>
        <xdr:cNvPr id="20" name="グループ化 19">
          <a:extLst>
            <a:ext uri="{FF2B5EF4-FFF2-40B4-BE49-F238E27FC236}">
              <a16:creationId xmlns:a16="http://schemas.microsoft.com/office/drawing/2014/main" id="{4C3B6C98-9D55-4216-A9C5-08E3A3AFB523}"/>
            </a:ext>
          </a:extLst>
        </xdr:cNvPr>
        <xdr:cNvGrpSpPr/>
      </xdr:nvGrpSpPr>
      <xdr:grpSpPr>
        <a:xfrm>
          <a:off x="665323" y="14906170"/>
          <a:ext cx="6414927" cy="4603296"/>
          <a:chOff x="665390" y="14661697"/>
          <a:chExt cx="6411661" cy="4557259"/>
        </a:xfrm>
      </xdr:grpSpPr>
      <xdr:sp macro="" textlink="">
        <xdr:nvSpPr>
          <xdr:cNvPr id="21" name="テキスト ボックス 20">
            <a:extLst>
              <a:ext uri="{FF2B5EF4-FFF2-40B4-BE49-F238E27FC236}">
                <a16:creationId xmlns:a16="http://schemas.microsoft.com/office/drawing/2014/main" id="{4787B23E-ED3E-B41D-2792-FE550166BA9F}"/>
              </a:ext>
            </a:extLst>
          </xdr:cNvPr>
          <xdr:cNvSpPr txBox="1"/>
        </xdr:nvSpPr>
        <xdr:spPr>
          <a:xfrm>
            <a:off x="665390" y="18094276"/>
            <a:ext cx="6411661" cy="1124680"/>
          </a:xfrm>
          <a:prstGeom prst="rect">
            <a:avLst/>
          </a:prstGeom>
          <a:solidFill>
            <a:schemeClr val="lt1">
              <a:alpha val="1000"/>
            </a:schemeClr>
          </a:solidFill>
          <a:ln w="63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22" name="テキスト ボックス 21">
            <a:extLst>
              <a:ext uri="{FF2B5EF4-FFF2-40B4-BE49-F238E27FC236}">
                <a16:creationId xmlns:a16="http://schemas.microsoft.com/office/drawing/2014/main" id="{0E6D9529-D49D-495C-3654-4F43A764F3A6}"/>
              </a:ext>
            </a:extLst>
          </xdr:cNvPr>
          <xdr:cNvSpPr txBox="1"/>
        </xdr:nvSpPr>
        <xdr:spPr>
          <a:xfrm>
            <a:off x="731724" y="14661697"/>
            <a:ext cx="6337754" cy="2071461"/>
          </a:xfrm>
          <a:prstGeom prst="rect">
            <a:avLst/>
          </a:prstGeom>
          <a:solidFill>
            <a:schemeClr val="lt1">
              <a:alpha val="1000"/>
            </a:schemeClr>
          </a:solidFill>
          <a:ln w="63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p>
        </xdr:txBody>
      </xdr:sp>
    </xdr:grpSp>
    <xdr:clientData/>
  </xdr:twoCellAnchor>
  <xdr:twoCellAnchor>
    <xdr:from>
      <xdr:col>7</xdr:col>
      <xdr:colOff>268969</xdr:colOff>
      <xdr:row>85</xdr:row>
      <xdr:rowOff>78469</xdr:rowOff>
    </xdr:from>
    <xdr:to>
      <xdr:col>10</xdr:col>
      <xdr:colOff>1495425</xdr:colOff>
      <xdr:row>119</xdr:row>
      <xdr:rowOff>124731</xdr:rowOff>
    </xdr:to>
    <xdr:grpSp>
      <xdr:nvGrpSpPr>
        <xdr:cNvPr id="23" name="グループ化 22">
          <a:extLst>
            <a:ext uri="{FF2B5EF4-FFF2-40B4-BE49-F238E27FC236}">
              <a16:creationId xmlns:a16="http://schemas.microsoft.com/office/drawing/2014/main" id="{8B367A63-8DBA-4105-BD51-1E0AA1E84B8F}"/>
            </a:ext>
          </a:extLst>
        </xdr:cNvPr>
        <xdr:cNvGrpSpPr/>
      </xdr:nvGrpSpPr>
      <xdr:grpSpPr>
        <a:xfrm>
          <a:off x="8250919" y="14613619"/>
          <a:ext cx="6484256" cy="6269262"/>
          <a:chOff x="7904891" y="14365445"/>
          <a:chExt cx="6481081" cy="6234337"/>
        </a:xfrm>
      </xdr:grpSpPr>
      <xdr:sp macro="" textlink="">
        <xdr:nvSpPr>
          <xdr:cNvPr id="24" name="四角形: 角を丸くする 23">
            <a:extLst>
              <a:ext uri="{FF2B5EF4-FFF2-40B4-BE49-F238E27FC236}">
                <a16:creationId xmlns:a16="http://schemas.microsoft.com/office/drawing/2014/main" id="{EAAEB9A7-670D-A60F-D87D-334656909DC7}"/>
              </a:ext>
            </a:extLst>
          </xdr:cNvPr>
          <xdr:cNvSpPr/>
        </xdr:nvSpPr>
        <xdr:spPr bwMode="auto">
          <a:xfrm>
            <a:off x="7904891" y="14365445"/>
            <a:ext cx="6481081" cy="6234337"/>
          </a:xfrm>
          <a:prstGeom prst="roundRect">
            <a:avLst>
              <a:gd name="adj" fmla="val 3286"/>
            </a:avLst>
          </a:prstGeom>
          <a:solidFill>
            <a:srgbClr val="FFFF66"/>
          </a:solidFill>
          <a:ln w="95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２　　</a:t>
            </a:r>
            <a:r>
              <a:rPr kumimoji="0"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③  「その他所得」 </a:t>
            </a:r>
            <a:r>
              <a:rPr kumimoji="0" lang="ja-JP" altLang="en-US"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申告書</a:t>
            </a:r>
            <a:r>
              <a:rPr kumimoji="0" lang="en-US"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（分離課税用　</a:t>
            </a:r>
            <a:r>
              <a:rPr kumimoji="0" lang="ja-JP"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第三表</a:t>
            </a:r>
            <a:r>
              <a:rPr kumimoji="0" lang="ja-JP" altLang="en-US"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en-US"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について</a:t>
            </a:r>
            <a:endParaRPr kumimoji="0" lang="en-US" altLang="ja-JP" sz="14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 計算シート 」 の 「 ③ </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その他所得</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欄</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には、次の金額を入力してください。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分離課税分　</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該当する方のみ）</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2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1"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所得金額 」 欄 （</a:t>
            </a:r>
            <a:r>
              <a:rPr kumimoji="0" lang="en-US" altLang="ja-JP" sz="1200" b="1"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67</a:t>
            </a:r>
            <a:r>
              <a:rPr kumimoji="0" lang="ja-JP" altLang="en-US" sz="1200" b="1"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）～（７５） の合計額 </a:t>
            </a:r>
            <a:r>
              <a:rPr kumimoji="0" lang="ja-JP" altLang="en-US" sz="12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（令和７年様式）</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b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b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この金額は、分離課税内（</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67</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75</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）の各区分ごとの損益計算に加え、</a:t>
            </a:r>
            <a:b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b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同表 「その他」 欄（</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95</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99</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）のうち、</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「本年分から差し引く繰越損失 </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( 3</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年間繰越可 ） 」 を反映した所得金額です。</a:t>
            </a:r>
            <a:b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b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赤字の場合は　「 </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0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（空欄）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になります。</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上場株式等・配当、先物等については 「 翌年以降に繰り越される損失 」 として、</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同表 「 その他 」 欄に記載され、翌年の所得計算に用いられます。</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総合課税の</a:t>
            </a:r>
            <a:r>
              <a:rPr kumimoji="0" lang="ja-JP" altLang="ja-JP" sz="1200" b="0"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所得金額とは通算できません。</a:t>
            </a:r>
            <a:endParaRPr kumimoji="0" lang="en-US" altLang="ja-JP" sz="1200" b="0"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特別控除額 （ 分離課税 ） 」　がある場合の入力方法</a:t>
            </a:r>
            <a:endParaRPr kumimoji="0" lang="en-US" altLang="ja-JP" sz="1200" b="0"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国民健康保険税の所得割は　「 特別控除</a:t>
            </a:r>
            <a:r>
              <a:rPr kumimoji="0" lang="ja-JP" altLang="en-US" sz="1200" b="0"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適用後</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の所得金額　」　で計算します。</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このため、</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③</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その他所得</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欄には　「 特別控除</a:t>
            </a:r>
            <a:r>
              <a:rPr kumimoji="0" lang="ja-JP" altLang="en-US" sz="1200" b="0"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適用後</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の所得金額 」　を入力し、</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下段の　「 専従者控除額、特別控除額 」　欄には 「 総所得所得金額等 」 の金額　　　</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に戻すため 「 特別控除額 」　と同額を </a:t>
            </a:r>
            <a:r>
              <a:rPr kumimoji="0" lang="ja-JP" altLang="en-US" sz="12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プラス値 」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で入力してください。</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申告書（第一表）でも申告</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のある</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方は、</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上記の２つの記入欄には</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それぞれ</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第一表</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の金額と</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合計した金額を入力してください。</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en-US" altLang="ja-JP" sz="1600" b="1"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ja-JP" altLang="en-US" sz="1600" b="1"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ja-JP" sz="1600" b="1"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確定申告</a:t>
            </a:r>
            <a:r>
              <a:rPr kumimoji="0" lang="ja-JP" altLang="en-US" sz="1600" b="1"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に関するご</a:t>
            </a:r>
            <a:r>
              <a:rPr kumimoji="0" lang="ja-JP" altLang="ja-JP" sz="1600" b="1"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不明</a:t>
            </a:r>
            <a:r>
              <a:rPr kumimoji="0" lang="ja-JP" altLang="en-US" sz="1600" b="1"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点な点は</a:t>
            </a:r>
            <a:r>
              <a:rPr kumimoji="0" lang="ja-JP" altLang="ja-JP" sz="1600" b="1" i="0" u="sng"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、税務署へご確認ください。</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endParaRPr kumimoji="0"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algn="l" rtl="0">
              <a:lnSpc>
                <a:spcPts val="1300"/>
              </a:lnSpc>
            </a:pPr>
            <a:endParaRPr kumimoji="1" lang="ja-JP" altLang="en-US" sz="1200" b="0" i="0" u="none" strike="noStrike" baseline="0">
              <a:solidFill>
                <a:schemeClr val="tx1"/>
              </a:solidFill>
              <a:latin typeface="BIZ UDPゴシック" panose="020B0400000000000000" pitchFamily="50" charset="-128"/>
              <a:ea typeface="BIZ UDPゴシック" panose="020B0400000000000000" pitchFamily="50" charset="-128"/>
            </a:endParaRPr>
          </a:p>
        </xdr:txBody>
      </xdr:sp>
      <xdr:sp macro="" textlink="">
        <xdr:nvSpPr>
          <xdr:cNvPr id="25" name="テキスト ボックス 24">
            <a:extLst>
              <a:ext uri="{FF2B5EF4-FFF2-40B4-BE49-F238E27FC236}">
                <a16:creationId xmlns:a16="http://schemas.microsoft.com/office/drawing/2014/main" id="{A78E8DFE-73CD-5DB9-A914-6993BF84A545}"/>
              </a:ext>
            </a:extLst>
          </xdr:cNvPr>
          <xdr:cNvSpPr txBox="1"/>
        </xdr:nvSpPr>
        <xdr:spPr>
          <a:xfrm>
            <a:off x="8097194" y="18038551"/>
            <a:ext cx="5885368" cy="1138462"/>
          </a:xfrm>
          <a:prstGeom prst="rect">
            <a:avLst/>
          </a:prstGeom>
          <a:solidFill>
            <a:schemeClr val="lt1">
              <a:alpha val="1000"/>
            </a:schemeClr>
          </a:solidFill>
          <a:ln w="63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grpSp>
    <xdr:clientData/>
  </xdr:twoCellAnchor>
  <xdr:twoCellAnchor>
    <xdr:from>
      <xdr:col>0</xdr:col>
      <xdr:colOff>64406</xdr:colOff>
      <xdr:row>6</xdr:row>
      <xdr:rowOff>25401</xdr:rowOff>
    </xdr:from>
    <xdr:to>
      <xdr:col>6</xdr:col>
      <xdr:colOff>247395</xdr:colOff>
      <xdr:row>31</xdr:row>
      <xdr:rowOff>76200</xdr:rowOff>
    </xdr:to>
    <xdr:grpSp>
      <xdr:nvGrpSpPr>
        <xdr:cNvPr id="26" name="グループ化 25">
          <a:extLst>
            <a:ext uri="{FF2B5EF4-FFF2-40B4-BE49-F238E27FC236}">
              <a16:creationId xmlns:a16="http://schemas.microsoft.com/office/drawing/2014/main" id="{47769014-80A9-42CB-B373-C2964AC00F2D}"/>
            </a:ext>
          </a:extLst>
        </xdr:cNvPr>
        <xdr:cNvGrpSpPr/>
      </xdr:nvGrpSpPr>
      <xdr:grpSpPr>
        <a:xfrm>
          <a:off x="64406" y="1390651"/>
          <a:ext cx="7263239" cy="4178299"/>
          <a:chOff x="480246" y="1400173"/>
          <a:chExt cx="7263324" cy="3933829"/>
        </a:xfrm>
      </xdr:grpSpPr>
      <xdr:grpSp>
        <xdr:nvGrpSpPr>
          <xdr:cNvPr id="27" name="グループ化 8">
            <a:extLst>
              <a:ext uri="{FF2B5EF4-FFF2-40B4-BE49-F238E27FC236}">
                <a16:creationId xmlns:a16="http://schemas.microsoft.com/office/drawing/2014/main" id="{C9EE19F1-A795-A601-86B9-A9032510AC51}"/>
              </a:ext>
            </a:extLst>
          </xdr:cNvPr>
          <xdr:cNvGrpSpPr>
            <a:grpSpLocks/>
          </xdr:cNvGrpSpPr>
        </xdr:nvGrpSpPr>
        <xdr:grpSpPr bwMode="auto">
          <a:xfrm>
            <a:off x="480246" y="1400173"/>
            <a:ext cx="7263324" cy="3926938"/>
            <a:chOff x="890306" y="262915"/>
            <a:chExt cx="5314100" cy="3754156"/>
          </a:xfrm>
        </xdr:grpSpPr>
        <xdr:pic>
          <xdr:nvPicPr>
            <xdr:cNvPr id="29" name="図 1">
              <a:extLst>
                <a:ext uri="{FF2B5EF4-FFF2-40B4-BE49-F238E27FC236}">
                  <a16:creationId xmlns:a16="http://schemas.microsoft.com/office/drawing/2014/main" id="{AB229EE2-CF81-33A9-A6E9-928EF669FCCA}"/>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2355" r="1463"/>
            <a:stretch>
              <a:fillRect/>
            </a:stretch>
          </xdr:blipFill>
          <xdr:spPr bwMode="auto">
            <a:xfrm>
              <a:off x="890306" y="262915"/>
              <a:ext cx="5314100" cy="3754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30" name="正方形/長方形 29">
              <a:extLst>
                <a:ext uri="{FF2B5EF4-FFF2-40B4-BE49-F238E27FC236}">
                  <a16:creationId xmlns:a16="http://schemas.microsoft.com/office/drawing/2014/main" id="{9FAD4B4B-09B9-E9FF-3AD4-6D0FD56A7FF9}"/>
                </a:ext>
              </a:extLst>
            </xdr:cNvPr>
            <xdr:cNvSpPr/>
          </xdr:nvSpPr>
          <xdr:spPr>
            <a:xfrm>
              <a:off x="2123925" y="1503011"/>
              <a:ext cx="1074907" cy="479936"/>
            </a:xfrm>
            <a:prstGeom prst="rect">
              <a:avLst/>
            </a:prstGeom>
            <a:noFill/>
            <a:ln w="508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sp macro="" textlink="">
        <xdr:nvSpPr>
          <xdr:cNvPr id="28" name="四角形: 角を丸くする 27">
            <a:extLst>
              <a:ext uri="{FF2B5EF4-FFF2-40B4-BE49-F238E27FC236}">
                <a16:creationId xmlns:a16="http://schemas.microsoft.com/office/drawing/2014/main" id="{6538E4BD-C3CE-F1EE-147A-916DA2DEA27F}"/>
              </a:ext>
            </a:extLst>
          </xdr:cNvPr>
          <xdr:cNvSpPr/>
        </xdr:nvSpPr>
        <xdr:spPr bwMode="auto">
          <a:xfrm>
            <a:off x="691989" y="3241673"/>
            <a:ext cx="6975577" cy="2092329"/>
          </a:xfrm>
          <a:prstGeom prst="roundRect">
            <a:avLst>
              <a:gd name="adj" fmla="val 3286"/>
            </a:avLst>
          </a:prstGeom>
          <a:solidFill>
            <a:srgbClr val="FFFF66"/>
          </a:solidFill>
          <a:ln w="95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000000"/>
                </a:solidFill>
                <a:effectLst/>
                <a:uLnTx/>
                <a:uFillTx/>
                <a:latin typeface="BIZ UDPゴシック"/>
                <a:ea typeface="BIZ UDPゴシック"/>
                <a:cs typeface="+mn-cs"/>
              </a:rPr>
              <a:t>  ①  「 給与収入 」  欄には支払金額を入力してください。</a:t>
            </a:r>
            <a:endParaRPr kumimoji="0" lang="en-US" altLang="ja-JP" sz="1200" b="1" i="0" u="none" strike="noStrike" kern="0" cap="none" spc="0" normalizeH="0" baseline="0" noProof="0">
              <a:ln>
                <a:noFill/>
              </a:ln>
              <a:solidFill>
                <a:srgbClr val="000000"/>
              </a:solidFill>
              <a:effectLst/>
              <a:uLnTx/>
              <a:uFillTx/>
              <a:latin typeface="BIZ UDPゴシック"/>
              <a:ea typeface="BIZ UDPゴシック"/>
              <a:cs typeface="+mn-cs"/>
            </a:endParaRPr>
          </a:p>
          <a:p>
            <a:pPr marL="0" marR="0" lvl="0" indent="0" algn="l" defTabSz="914400" rtl="0" eaLnBrk="1" fontAlgn="auto" latinLnBrk="0" hangingPunct="1">
              <a:lnSpc>
                <a:spcPts val="1400"/>
              </a:lnSpc>
              <a:spcBef>
                <a:spcPts val="0"/>
              </a:spcBef>
              <a:spcAft>
                <a:spcPts val="0"/>
              </a:spcAft>
              <a:buClrTx/>
              <a:buSzTx/>
              <a:buFontTx/>
              <a:buNone/>
              <a:tabLst/>
              <a:defRPr sz="1000"/>
            </a:pPr>
            <a:endParaRPr kumimoji="0" lang="ja-JP" altLang="en-US" sz="1200" b="1" i="0" u="none" strike="noStrike" kern="0" cap="none" spc="0" normalizeH="0" baseline="0" noProof="0">
              <a:ln>
                <a:noFill/>
              </a:ln>
              <a:solidFill>
                <a:srgbClr val="000000"/>
              </a:solidFill>
              <a:effectLst/>
              <a:uLnTx/>
              <a:uFillTx/>
              <a:latin typeface="BIZ UDPゴシック"/>
              <a:ea typeface="BIZ UDPゴシック"/>
              <a:cs typeface="+mn-cs"/>
            </a:endParaRPr>
          </a:p>
          <a:p>
            <a:pPr marL="0" marR="0" lvl="0" indent="0" algn="l" defTabSz="914400" rtl="0" eaLnBrk="1" fontAlgn="auto" latinLnBrk="0" hangingPunct="1">
              <a:lnSpc>
                <a:spcPts val="1400"/>
              </a:lnSpc>
              <a:spcBef>
                <a:spcPts val="0"/>
              </a:spcBef>
              <a:spcAft>
                <a:spcPts val="0"/>
              </a:spcAft>
              <a:buClrTx/>
              <a:buSzTx/>
              <a:buFontTx/>
              <a:buNone/>
              <a:tabLst/>
              <a:defRPr sz="1000"/>
            </a:pPr>
            <a:endParaRPr kumimoji="0" lang="ja-JP" altLang="en-US" sz="1200" b="0" i="0" u="none" strike="noStrike" kern="0" cap="none" spc="0" normalizeH="0" baseline="0" noProof="0">
              <a:ln>
                <a:noFill/>
              </a:ln>
              <a:solidFill>
                <a:srgbClr val="000000"/>
              </a:solidFill>
              <a:effectLst/>
              <a:uLnTx/>
              <a:uFillTx/>
              <a:latin typeface="BIZ UDPゴシック"/>
              <a:ea typeface="BIZ UDPゴシック"/>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BIZ UDPゴシック"/>
                <a:ea typeface="BIZ UDPゴシック"/>
                <a:cs typeface="+mn-cs"/>
              </a:rPr>
              <a:t>　</a:t>
            </a:r>
            <a:r>
              <a:rPr kumimoji="0" lang="en-US" altLang="ja-JP" sz="1200" b="0" i="0" u="none" strike="noStrike" kern="0" cap="none" spc="0" normalizeH="0" baseline="0" noProof="0">
                <a:ln>
                  <a:noFill/>
                </a:ln>
                <a:solidFill>
                  <a:srgbClr val="000000"/>
                </a:solidFill>
                <a:effectLst/>
                <a:uLnTx/>
                <a:uFillTx/>
                <a:latin typeface="BIZ UDPゴシック"/>
                <a:ea typeface="BIZ UDPゴシック"/>
                <a:cs typeface="+mn-cs"/>
              </a:rPr>
              <a:t>※</a:t>
            </a:r>
            <a:r>
              <a:rPr kumimoji="0" lang="ja-JP" altLang="en-US" sz="1200" b="0" i="0" u="none" strike="noStrike" kern="0" cap="none" spc="0" normalizeH="0" baseline="0" noProof="0">
                <a:ln>
                  <a:noFill/>
                </a:ln>
                <a:solidFill>
                  <a:srgbClr val="000000"/>
                </a:solidFill>
                <a:effectLst/>
                <a:uLnTx/>
                <a:uFillTx/>
                <a:latin typeface="BIZ UDPゴシック"/>
                <a:ea typeface="BIZ UDPゴシック"/>
                <a:cs typeface="+mn-cs"/>
              </a:rPr>
              <a:t>　専従者給与は 「 ① 給与収入 」 欄ではなく、下段の「 専従者給与収入 」　欄に入力してださい。</a:t>
            </a:r>
            <a:endParaRPr kumimoji="0" lang="en-US" altLang="ja-JP" sz="1200" b="0" i="0" u="none" strike="noStrike" kern="0" cap="none" spc="0" normalizeH="0" baseline="0" noProof="0">
              <a:ln>
                <a:noFill/>
              </a:ln>
              <a:solidFill>
                <a:srgbClr val="000000"/>
              </a:solidFill>
              <a:effectLst/>
              <a:uLnTx/>
              <a:uFillTx/>
              <a:latin typeface="BIZ UDPゴシック"/>
              <a:ea typeface="BIZ UDPゴシック"/>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BIZ UDPゴシック"/>
                <a:ea typeface="BIZ UDPゴシック"/>
                <a:cs typeface="+mn-cs"/>
              </a:rPr>
              <a:t>  　 　他の計算対象者で専従者控除がある場合は、下記の 「 ③ その他所得 」 をご確認ください。</a:t>
            </a:r>
            <a:endParaRPr kumimoji="0" lang="en-US" altLang="ja-JP" sz="1200" b="0" i="0" u="none" strike="noStrike" kern="0" cap="none" spc="0" normalizeH="0" baseline="0" noProof="0">
              <a:ln>
                <a:noFill/>
              </a:ln>
              <a:solidFill>
                <a:srgbClr val="000000"/>
              </a:solidFill>
              <a:effectLst/>
              <a:uLnTx/>
              <a:uFillTx/>
              <a:latin typeface="BIZ UDPゴシック"/>
              <a:ea typeface="BIZ UDPゴシック"/>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rgbClr val="000000"/>
              </a:solidFill>
              <a:effectLst/>
              <a:uLnTx/>
              <a:uFillTx/>
              <a:latin typeface="BIZ UDPゴシック"/>
              <a:ea typeface="BIZ UDP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給与収入が</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850</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万円以上の方へ</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「子ども・特別障害者等を有する等の所得金額調整控除」 </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上限</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15</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万円</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に該当する方は、</a:t>
            </a:r>
            <a:endPar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控除額を 「 ③ </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その他所得</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0"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欄</a:t>
            </a:r>
            <a:r>
              <a:rPr kumimoji="0" lang="ja-JP"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0"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 「 マイナス値 」 として入力してください。</a:t>
            </a:r>
            <a:endParaRPr kumimoji="1" lang="ja-JP" altLang="en-US" sz="1200" b="0" i="0" u="none" strike="noStrike" baseline="0">
              <a:solidFill>
                <a:schemeClr val="tx1"/>
              </a:solidFill>
              <a:latin typeface="BIZ UDPゴシック" panose="020B0400000000000000" pitchFamily="50" charset="-128"/>
              <a:ea typeface="BIZ UDPゴシック" panose="020B0400000000000000" pitchFamily="50" charset="-128"/>
            </a:endParaRPr>
          </a:p>
        </xdr:txBody>
      </xdr:sp>
    </xdr:grpSp>
    <xdr:clientData/>
  </xdr:twoCellAnchor>
  <xdr:twoCellAnchor>
    <xdr:from>
      <xdr:col>7</xdr:col>
      <xdr:colOff>264702</xdr:colOff>
      <xdr:row>7</xdr:row>
      <xdr:rowOff>1361</xdr:rowOff>
    </xdr:from>
    <xdr:to>
      <xdr:col>10</xdr:col>
      <xdr:colOff>200026</xdr:colOff>
      <xdr:row>31</xdr:row>
      <xdr:rowOff>82551</xdr:rowOff>
    </xdr:to>
    <xdr:grpSp>
      <xdr:nvGrpSpPr>
        <xdr:cNvPr id="31" name="グループ化 30">
          <a:extLst>
            <a:ext uri="{FF2B5EF4-FFF2-40B4-BE49-F238E27FC236}">
              <a16:creationId xmlns:a16="http://schemas.microsoft.com/office/drawing/2014/main" id="{EF00C958-389E-4751-864F-84DBAB340848}"/>
            </a:ext>
          </a:extLst>
        </xdr:cNvPr>
        <xdr:cNvGrpSpPr/>
      </xdr:nvGrpSpPr>
      <xdr:grpSpPr>
        <a:xfrm>
          <a:off x="8246652" y="1531711"/>
          <a:ext cx="5193124" cy="4043590"/>
          <a:chOff x="8032116" y="1650898"/>
          <a:chExt cx="5186845" cy="3973745"/>
        </a:xfrm>
      </xdr:grpSpPr>
      <xdr:sp macro="" textlink="">
        <xdr:nvSpPr>
          <xdr:cNvPr id="32" name="テキスト ボックス 31">
            <a:extLst>
              <a:ext uri="{FF2B5EF4-FFF2-40B4-BE49-F238E27FC236}">
                <a16:creationId xmlns:a16="http://schemas.microsoft.com/office/drawing/2014/main" id="{BCCEB01B-08B5-5EBA-1EA4-EDD48C3A6C5C}"/>
              </a:ext>
            </a:extLst>
          </xdr:cNvPr>
          <xdr:cNvSpPr txBox="1"/>
        </xdr:nvSpPr>
        <xdr:spPr bwMode="auto">
          <a:xfrm>
            <a:off x="9115602" y="1650898"/>
            <a:ext cx="3030472" cy="314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BIZ UDPゴシック" panose="020B0400000000000000" pitchFamily="50" charset="-128"/>
                <a:ea typeface="BIZ UDPゴシック" panose="020B0400000000000000" pitchFamily="50" charset="-128"/>
              </a:rPr>
              <a:t>令和　年分　　　</a:t>
            </a:r>
            <a:r>
              <a:rPr kumimoji="1" lang="ja-JP" altLang="en-US" sz="1200" b="1">
                <a:latin typeface="BIZ UDPゴシック" panose="020B0400000000000000" pitchFamily="50" charset="-128"/>
                <a:ea typeface="BIZ UDPゴシック" panose="020B0400000000000000" pitchFamily="50" charset="-128"/>
              </a:rPr>
              <a:t>公的年金等の源泉徴収票</a:t>
            </a:r>
          </a:p>
        </xdr:txBody>
      </xdr:sp>
      <xdr:grpSp>
        <xdr:nvGrpSpPr>
          <xdr:cNvPr id="33" name="グループ化 32">
            <a:extLst>
              <a:ext uri="{FF2B5EF4-FFF2-40B4-BE49-F238E27FC236}">
                <a16:creationId xmlns:a16="http://schemas.microsoft.com/office/drawing/2014/main" id="{573A91F3-D3D0-6603-BBE5-580AAEC7A599}"/>
              </a:ext>
            </a:extLst>
          </xdr:cNvPr>
          <xdr:cNvGrpSpPr/>
        </xdr:nvGrpSpPr>
        <xdr:grpSpPr>
          <a:xfrm>
            <a:off x="8032116" y="1907881"/>
            <a:ext cx="5186845" cy="3716762"/>
            <a:chOff x="8022591" y="1765006"/>
            <a:chExt cx="5186845" cy="3716762"/>
          </a:xfrm>
        </xdr:grpSpPr>
        <xdr:pic>
          <xdr:nvPicPr>
            <xdr:cNvPr id="35" name="図 2">
              <a:extLst>
                <a:ext uri="{FF2B5EF4-FFF2-40B4-BE49-F238E27FC236}">
                  <a16:creationId xmlns:a16="http://schemas.microsoft.com/office/drawing/2014/main" id="{9E9C8B83-615E-66A7-18C8-B8E22B3EEDD6}"/>
                </a:ext>
              </a:extLst>
            </xdr:cNvPr>
            <xdr:cNvPicPr>
              <a:picLocks noChangeAspect="1" noChangeArrowheads="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t="4796" r="1242" b="2998"/>
            <a:stretch>
              <a:fillRect/>
            </a:stretch>
          </xdr:blipFill>
          <xdr:spPr bwMode="auto">
            <a:xfrm>
              <a:off x="8022591" y="1765006"/>
              <a:ext cx="5186845" cy="3716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36" name="四角形: 角を丸くする 35">
              <a:extLst>
                <a:ext uri="{FF2B5EF4-FFF2-40B4-BE49-F238E27FC236}">
                  <a16:creationId xmlns:a16="http://schemas.microsoft.com/office/drawing/2014/main" id="{F1FC6985-F55A-378D-F736-CBC47F4A60ED}"/>
                </a:ext>
              </a:extLst>
            </xdr:cNvPr>
            <xdr:cNvSpPr/>
          </xdr:nvSpPr>
          <xdr:spPr bwMode="auto">
            <a:xfrm>
              <a:off x="9168572" y="3373465"/>
              <a:ext cx="4010747" cy="533826"/>
            </a:xfrm>
            <a:prstGeom prst="roundRect">
              <a:avLst>
                <a:gd name="adj" fmla="val 5074"/>
              </a:avLst>
            </a:prstGeom>
            <a:solidFill>
              <a:srgbClr val="FFFF66"/>
            </a:solidFill>
            <a:ln w="95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000000"/>
                  </a:solidFill>
                  <a:effectLst/>
                  <a:uLnTx/>
                  <a:uFillTx/>
                  <a:latin typeface="BIZ UDPゴシック"/>
                  <a:ea typeface="BIZ UDPゴシック"/>
                  <a:cs typeface="+mn-cs"/>
                </a:rPr>
                <a:t>  ②  「 年金収入 」 欄 には支払金額を入力してください。</a:t>
              </a: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200" b="0" i="0" u="none" strike="noStrike" baseline="0">
                <a:solidFill>
                  <a:schemeClr val="tx1"/>
                </a:solidFill>
                <a:latin typeface="BIZ UDPゴシック" panose="020B0400000000000000" pitchFamily="50" charset="-128"/>
                <a:ea typeface="BIZ UDPゴシック" panose="020B0400000000000000" pitchFamily="50" charset="-128"/>
              </a:endParaRPr>
            </a:p>
          </xdr:txBody>
        </xdr:sp>
      </xdr:grpSp>
      <xdr:sp macro="" textlink="">
        <xdr:nvSpPr>
          <xdr:cNvPr id="34" name="正方形/長方形 33">
            <a:extLst>
              <a:ext uri="{FF2B5EF4-FFF2-40B4-BE49-F238E27FC236}">
                <a16:creationId xmlns:a16="http://schemas.microsoft.com/office/drawing/2014/main" id="{CAADE447-9BD5-5073-86DB-AF5C716181BA}"/>
              </a:ext>
            </a:extLst>
          </xdr:cNvPr>
          <xdr:cNvSpPr/>
        </xdr:nvSpPr>
        <xdr:spPr bwMode="auto">
          <a:xfrm>
            <a:off x="9478611" y="2637620"/>
            <a:ext cx="1868797" cy="841958"/>
          </a:xfrm>
          <a:prstGeom prst="rect">
            <a:avLst/>
          </a:prstGeom>
          <a:noFill/>
          <a:ln w="508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9</xdr:col>
      <xdr:colOff>73074</xdr:colOff>
      <xdr:row>1</xdr:row>
      <xdr:rowOff>170815</xdr:rowOff>
    </xdr:from>
    <xdr:to>
      <xdr:col>9</xdr:col>
      <xdr:colOff>684579</xdr:colOff>
      <xdr:row>3</xdr:row>
      <xdr:rowOff>92710</xdr:rowOff>
    </xdr:to>
    <xdr:sp macro="" textlink="">
      <xdr:nvSpPr>
        <xdr:cNvPr id="154625" name="Button 1" hidden="1">
          <a:extLst>
            <a:ext uri="{63B3BB69-23CF-44E3-9099-C40C66FF867C}">
              <a14:compatExt xmlns:a14="http://schemas.microsoft.com/office/drawing/2010/main" spid="_x0000_s154625"/>
            </a:ext>
            <a:ext uri="{FF2B5EF4-FFF2-40B4-BE49-F238E27FC236}">
              <a16:creationId xmlns:a16="http://schemas.microsoft.com/office/drawing/2014/main" id="{00000000-0008-0000-0300-0000015C0200}"/>
            </a:ext>
          </a:extLst>
        </xdr:cNvPr>
        <xdr:cNvSpPr/>
      </xdr:nvSpPr>
      <xdr:spPr bwMode="auto">
        <a:xfrm>
          <a:off x="0" y="0"/>
          <a:ext cx="0" cy="0"/>
        </a:xfrm>
        <a:prstGeom prst="rect">
          <a:avLst/>
        </a:prstGeom>
        <a:noFill/>
        <a:ln w="9525">
          <a:miter lim="800000"/>
          <a:headEnd/>
          <a:tailEnd/>
        </a:ln>
      </xdr:spPr>
      <xdr:txBody>
        <a:bodyPr vertOverflow="clip" wrap="square" lIns="54864" tIns="22860" rIns="54864" bIns="22860" anchor="ctr" upright="1"/>
        <a:lstStyle/>
        <a:p>
          <a:pPr algn="ctr" rtl="0">
            <a:defRPr sz="1000"/>
          </a:pPr>
          <a:r>
            <a:rPr lang="ja-JP" altLang="en-US" sz="1100" b="0" i="0" u="none" strike="noStrike" baseline="0">
              <a:solidFill>
                <a:srgbClr val="000000"/>
              </a:solidFill>
              <a:latin typeface="BIZ UDPゴシック"/>
              <a:ea typeface="BIZ UDPゴシック"/>
            </a:rPr>
            <a:t>印刷 </a:t>
          </a:r>
        </a:p>
      </xdr:txBody>
    </xdr:sp>
    <xdr:clientData fLocksWithSheet="0" fPrintsWithSheet="0"/>
  </xdr:twoCellAnchor>
  <xdr:twoCellAnchor editAs="oneCell">
    <xdr:from>
      <xdr:col>0</xdr:col>
      <xdr:colOff>49781</xdr:colOff>
      <xdr:row>21</xdr:row>
      <xdr:rowOff>2463</xdr:rowOff>
    </xdr:from>
    <xdr:to>
      <xdr:col>1</xdr:col>
      <xdr:colOff>22734</xdr:colOff>
      <xdr:row>23</xdr:row>
      <xdr:rowOff>1801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DBCD058-69CC-4289-A237-DF494D3D26B5}"/>
            </a:ext>
          </a:extLst>
        </xdr:cNvPr>
        <xdr:cNvSpPr/>
      </xdr:nvSpPr>
      <xdr:spPr>
        <a:xfrm>
          <a:off x="49781" y="5080021"/>
          <a:ext cx="610981" cy="394993"/>
        </a:xfrm>
        <a:prstGeom prst="bevel">
          <a:avLst/>
        </a:prstGeom>
        <a:solidFill>
          <a:srgbClr val="00B0F0"/>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lIns="91440" tIns="144000" rIns="91440" bIns="45720" rtlCol="0" anchor="ctr" anchorCtr="0"/>
        <a:lstStyle/>
        <a:p>
          <a:pPr algn="ctr">
            <a:lnSpc>
              <a:spcPts val="300"/>
            </a:lnSpc>
          </a:pPr>
          <a:r>
            <a:rPr lang="ja-JP" altLang="en-US" sz="1050" b="1" baseline="0">
              <a:solidFill>
                <a:schemeClr val="bg1"/>
              </a:solidFill>
              <a:latin typeface="BIZ UDPゴシック" panose="020B0400000000000000" pitchFamily="50" charset="-128"/>
              <a:ea typeface="BIZ UDPゴシック" panose="020B0400000000000000" pitchFamily="50" charset="-128"/>
            </a:rPr>
            <a:t>収入</a:t>
          </a:r>
          <a:endParaRPr lang="en-US" altLang="ja-JP" sz="1050" b="1" baseline="0">
            <a:solidFill>
              <a:schemeClr val="bg1"/>
            </a:solidFill>
            <a:latin typeface="BIZ UDPゴシック" panose="020B0400000000000000" pitchFamily="50" charset="-128"/>
            <a:ea typeface="BIZ UDPゴシック" panose="020B0400000000000000" pitchFamily="50" charset="-128"/>
          </a:endParaRPr>
        </a:p>
        <a:p>
          <a:pPr algn="ctr">
            <a:lnSpc>
              <a:spcPts val="300"/>
            </a:lnSpc>
          </a:pPr>
          <a:endParaRPr lang="en-US" altLang="ja-JP" sz="900" b="1" baseline="0">
            <a:solidFill>
              <a:schemeClr val="bg1"/>
            </a:solidFill>
          </a:endParaRPr>
        </a:p>
        <a:p>
          <a:pPr algn="ctr">
            <a:lnSpc>
              <a:spcPts val="600"/>
            </a:lnSpc>
          </a:pPr>
          <a:endParaRPr lang="ja-JP" altLang="en-US" sz="900" baseline="0">
            <a:solidFill>
              <a:schemeClr val="bg1"/>
            </a:solidFill>
          </a:endParaRPr>
        </a:p>
      </xdr:txBody>
    </xdr:sp>
    <xdr:clientData/>
  </xdr:twoCellAnchor>
  <xdr:twoCellAnchor editAs="absolute">
    <xdr:from>
      <xdr:col>5</xdr:col>
      <xdr:colOff>93366</xdr:colOff>
      <xdr:row>1</xdr:row>
      <xdr:rowOff>17517</xdr:rowOff>
    </xdr:from>
    <xdr:to>
      <xdr:col>6</xdr:col>
      <xdr:colOff>209244</xdr:colOff>
      <xdr:row>2</xdr:row>
      <xdr:rowOff>207189</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5F8DBDF0-8588-4DE3-8492-932C93D99757}"/>
            </a:ext>
          </a:extLst>
        </xdr:cNvPr>
        <xdr:cNvSpPr/>
      </xdr:nvSpPr>
      <xdr:spPr>
        <a:xfrm>
          <a:off x="5255232" y="398517"/>
          <a:ext cx="958523" cy="428432"/>
        </a:xfrm>
        <a:prstGeom prst="bevel">
          <a:avLst/>
        </a:prstGeom>
        <a:solidFill>
          <a:srgbClr val="00B0F0"/>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rtlCol="0" anchor="ctr"/>
        <a:lstStyle/>
        <a:p>
          <a:pPr algn="ctr"/>
          <a:r>
            <a:rPr lang="ja-JP" altLang="en-US" sz="1100" b="1" baseline="0">
              <a:solidFill>
                <a:schemeClr val="bg1"/>
              </a:solidFill>
              <a:latin typeface="BIZ UDPゴシック" panose="020B0400000000000000" pitchFamily="50" charset="-128"/>
              <a:ea typeface="BIZ UDPゴシック" panose="020B0400000000000000" pitchFamily="50" charset="-128"/>
            </a:rPr>
            <a:t>注意事項</a:t>
          </a:r>
        </a:p>
      </xdr:txBody>
    </xdr:sp>
    <xdr:clientData/>
  </xdr:twoCellAnchor>
  <xdr:twoCellAnchor editAs="oneCell">
    <xdr:from>
      <xdr:col>0</xdr:col>
      <xdr:colOff>40378</xdr:colOff>
      <xdr:row>27</xdr:row>
      <xdr:rowOff>1737</xdr:rowOff>
    </xdr:from>
    <xdr:to>
      <xdr:col>1</xdr:col>
      <xdr:colOff>1173</xdr:colOff>
      <xdr:row>29</xdr:row>
      <xdr:rowOff>95914</xdr:rowOff>
    </xdr:to>
    <xdr:sp macro="" textlink="">
      <xdr:nvSpPr>
        <xdr:cNvPr id="4" name="四角形: 角度付き 6">
          <a:hlinkClick xmlns:r="http://schemas.openxmlformats.org/officeDocument/2006/relationships" r:id="rId3"/>
          <a:extLst>
            <a:ext uri="{FF2B5EF4-FFF2-40B4-BE49-F238E27FC236}">
              <a16:creationId xmlns:a16="http://schemas.microsoft.com/office/drawing/2014/main" id="{FDCAAC7B-1FAA-4689-A83C-BC0AFDDB96D8}"/>
            </a:ext>
          </a:extLst>
        </xdr:cNvPr>
        <xdr:cNvSpPr>
          <a:spLocks noChangeAspect="1"/>
        </xdr:cNvSpPr>
      </xdr:nvSpPr>
      <xdr:spPr>
        <a:xfrm>
          <a:off x="40378" y="6196797"/>
          <a:ext cx="594720" cy="490417"/>
        </a:xfrm>
        <a:prstGeom prst="bevel">
          <a:avLst/>
        </a:prstGeom>
        <a:solidFill>
          <a:srgbClr val="00B0F0"/>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lIns="91440" tIns="72000" rIns="91440" bIns="45720" rtlCol="0" anchor="ctr"/>
        <a:lstStyle/>
        <a:p>
          <a:pPr algn="ctr">
            <a:lnSpc>
              <a:spcPts val="800"/>
            </a:lnSpc>
            <a:spcBef>
              <a:spcPts val="400"/>
            </a:spcBef>
          </a:pPr>
          <a:r>
            <a:rPr lang="ja-JP" altLang="en-US" sz="1000" b="1" baseline="0">
              <a:solidFill>
                <a:schemeClr val="bg1"/>
              </a:solidFill>
              <a:latin typeface="BIZ UDPゴシック" panose="020B0400000000000000" pitchFamily="50" charset="-128"/>
              <a:ea typeface="BIZ UDPゴシック" panose="020B0400000000000000" pitchFamily="50" charset="-128"/>
            </a:rPr>
            <a:t>軽減</a:t>
          </a:r>
          <a:endParaRPr lang="en-US" altLang="ja-JP" sz="1000" b="1" baseline="0">
            <a:solidFill>
              <a:schemeClr val="bg1"/>
            </a:solidFill>
            <a:latin typeface="BIZ UDPゴシック" panose="020B0400000000000000" pitchFamily="50" charset="-128"/>
            <a:ea typeface="BIZ UDPゴシック" panose="020B0400000000000000" pitchFamily="50" charset="-128"/>
          </a:endParaRPr>
        </a:p>
        <a:p>
          <a:pPr algn="ctr">
            <a:lnSpc>
              <a:spcPts val="700"/>
            </a:lnSpc>
            <a:spcBef>
              <a:spcPts val="400"/>
            </a:spcBef>
          </a:pPr>
          <a:r>
            <a:rPr lang="ja-JP" altLang="en-US" sz="1000" b="1" baseline="0">
              <a:solidFill>
                <a:schemeClr val="bg1"/>
              </a:solidFill>
              <a:latin typeface="BIZ UDPゴシック" panose="020B0400000000000000" pitchFamily="50" charset="-128"/>
              <a:ea typeface="BIZ UDPゴシック" panose="020B0400000000000000" pitchFamily="50" charset="-128"/>
            </a:rPr>
            <a:t>制度</a:t>
          </a:r>
          <a:endParaRPr lang="en-US" altLang="ja-JP" sz="1000" b="1" baseline="0">
            <a:solidFill>
              <a:schemeClr val="bg1"/>
            </a:solidFill>
            <a:latin typeface="BIZ UDPゴシック" panose="020B0400000000000000" pitchFamily="50" charset="-128"/>
            <a:ea typeface="BIZ UDPゴシック" panose="020B0400000000000000" pitchFamily="50" charset="-128"/>
          </a:endParaRPr>
        </a:p>
        <a:p>
          <a:pPr algn="ctr">
            <a:lnSpc>
              <a:spcPts val="700"/>
            </a:lnSpc>
          </a:pPr>
          <a:endParaRPr lang="ja-JP" altLang="en-US" sz="900" baseline="0">
            <a:solidFill>
              <a:schemeClr val="bg1"/>
            </a:solidFill>
          </a:endParaRPr>
        </a:p>
      </xdr:txBody>
    </xdr:sp>
    <xdr:clientData/>
  </xdr:twoCellAnchor>
  <xdr:twoCellAnchor editAs="oneCell">
    <xdr:from>
      <xdr:col>3</xdr:col>
      <xdr:colOff>305986</xdr:colOff>
      <xdr:row>506</xdr:row>
      <xdr:rowOff>18720</xdr:rowOff>
    </xdr:from>
    <xdr:to>
      <xdr:col>6</xdr:col>
      <xdr:colOff>20197</xdr:colOff>
      <xdr:row>509</xdr:row>
      <xdr:rowOff>2643</xdr:rowOff>
    </xdr:to>
    <xdr:sp macro="" textlink="">
      <xdr:nvSpPr>
        <xdr:cNvPr id="5" name="楕円 13">
          <a:extLst>
            <a:ext uri="{FF2B5EF4-FFF2-40B4-BE49-F238E27FC236}">
              <a16:creationId xmlns:a16="http://schemas.microsoft.com/office/drawing/2014/main" id="{EBAE7BF2-19C5-4245-A2BB-70FAF04AF10E}"/>
            </a:ext>
          </a:extLst>
        </xdr:cNvPr>
        <xdr:cNvSpPr/>
      </xdr:nvSpPr>
      <xdr:spPr>
        <a:xfrm>
          <a:off x="3186346" y="53389200"/>
          <a:ext cx="2774276" cy="463984"/>
        </a:xfrm>
        <a:prstGeom prst="ellipse">
          <a:avLst/>
        </a:prstGeom>
        <a:solidFill>
          <a:schemeClr val="bg1"/>
        </a:solidFill>
        <a:ln>
          <a:solidFill>
            <a:schemeClr val="accent6"/>
          </a:solidFill>
        </a:ln>
      </xdr:spPr>
      <xdr:style>
        <a:lnRef idx="2">
          <a:schemeClr val="accent6"/>
        </a:lnRef>
        <a:fillRef idx="1">
          <a:schemeClr val="bg1"/>
        </a:fillRef>
        <a:effectRef idx="0">
          <a:schemeClr val="accent6"/>
        </a:effectRef>
        <a:fontRef idx="minor">
          <a:schemeClr val="tx1"/>
        </a:fontRef>
      </xdr:style>
      <xdr:txBody>
        <a:bodyPr vertOverflow="clip" horzOverflow="clip" rtlCol="0" anchor="ctr"/>
        <a:lstStyle/>
        <a:p>
          <a:pPr algn="ctr"/>
          <a:r>
            <a:rPr kumimoji="1" lang="ja-JP" altLang="en-US" sz="1200">
              <a:solidFill>
                <a:schemeClr val="tx1"/>
              </a:solidFill>
              <a:latin typeface="BIZ UDPゴシック" panose="020B0400000000000000" pitchFamily="50" charset="-128"/>
              <a:ea typeface="BIZ UDPゴシック" panose="020B0400000000000000" pitchFamily="50" charset="-128"/>
            </a:rPr>
            <a:t>太枠内を記入ください。</a:t>
          </a:r>
        </a:p>
      </xdr:txBody>
    </xdr:sp>
    <xdr:clientData/>
  </xdr:twoCellAnchor>
  <xdr:twoCellAnchor editAs="oneCell">
    <xdr:from>
      <xdr:col>4</xdr:col>
      <xdr:colOff>50800</xdr:colOff>
      <xdr:row>5</xdr:row>
      <xdr:rowOff>76200</xdr:rowOff>
    </xdr:from>
    <xdr:to>
      <xdr:col>4</xdr:col>
      <xdr:colOff>588010</xdr:colOff>
      <xdr:row>7</xdr:row>
      <xdr:rowOff>76200</xdr:rowOff>
    </xdr:to>
    <xdr:sp macro="" textlink="">
      <xdr:nvSpPr>
        <xdr:cNvPr id="154626" name="Button 2" hidden="1">
          <a:extLst>
            <a:ext uri="{63B3BB69-23CF-44E3-9099-C40C66FF867C}">
              <a14:compatExt xmlns:a14="http://schemas.microsoft.com/office/drawing/2010/main" spid="_x0000_s154626"/>
            </a:ext>
            <a:ext uri="{FF2B5EF4-FFF2-40B4-BE49-F238E27FC236}">
              <a16:creationId xmlns:a16="http://schemas.microsoft.com/office/drawing/2014/main" id="{00000000-0008-0000-0300-000002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 クリア </a:t>
          </a:r>
        </a:p>
      </xdr:txBody>
    </xdr:sp>
    <xdr:clientData fLocksWithSheet="0" fPrintsWithSheet="0"/>
  </xdr:twoCellAnchor>
  <xdr:twoCellAnchor editAs="oneCell">
    <xdr:from>
      <xdr:col>5</xdr:col>
      <xdr:colOff>82550</xdr:colOff>
      <xdr:row>5</xdr:row>
      <xdr:rowOff>76200</xdr:rowOff>
    </xdr:from>
    <xdr:to>
      <xdr:col>5</xdr:col>
      <xdr:colOff>589915</xdr:colOff>
      <xdr:row>7</xdr:row>
      <xdr:rowOff>76200</xdr:rowOff>
    </xdr:to>
    <xdr:sp macro="" textlink="">
      <xdr:nvSpPr>
        <xdr:cNvPr id="154627" name="Button 3" hidden="1">
          <a:extLst>
            <a:ext uri="{63B3BB69-23CF-44E3-9099-C40C66FF867C}">
              <a14:compatExt xmlns:a14="http://schemas.microsoft.com/office/drawing/2010/main" spid="_x0000_s154627"/>
            </a:ext>
            <a:ext uri="{FF2B5EF4-FFF2-40B4-BE49-F238E27FC236}">
              <a16:creationId xmlns:a16="http://schemas.microsoft.com/office/drawing/2014/main" id="{00000000-0008-0000-0300-000003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 クリア </a:t>
          </a:r>
        </a:p>
      </xdr:txBody>
    </xdr:sp>
    <xdr:clientData fLocksWithSheet="0" fPrintsWithSheet="0"/>
  </xdr:twoCellAnchor>
  <xdr:twoCellAnchor editAs="oneCell">
    <xdr:from>
      <xdr:col>6</xdr:col>
      <xdr:colOff>44450</xdr:colOff>
      <xdr:row>5</xdr:row>
      <xdr:rowOff>63500</xdr:rowOff>
    </xdr:from>
    <xdr:to>
      <xdr:col>6</xdr:col>
      <xdr:colOff>588010</xdr:colOff>
      <xdr:row>7</xdr:row>
      <xdr:rowOff>56515</xdr:rowOff>
    </xdr:to>
    <xdr:sp macro="" textlink="">
      <xdr:nvSpPr>
        <xdr:cNvPr id="154628" name="Button 4" hidden="1">
          <a:extLst>
            <a:ext uri="{63B3BB69-23CF-44E3-9099-C40C66FF867C}">
              <a14:compatExt xmlns:a14="http://schemas.microsoft.com/office/drawing/2010/main" spid="_x0000_s154628"/>
            </a:ext>
            <a:ext uri="{FF2B5EF4-FFF2-40B4-BE49-F238E27FC236}">
              <a16:creationId xmlns:a16="http://schemas.microsoft.com/office/drawing/2014/main" id="{00000000-0008-0000-0300-000004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 クリア </a:t>
          </a:r>
        </a:p>
      </xdr:txBody>
    </xdr:sp>
    <xdr:clientData fLocksWithSheet="0" fPrintsWithSheet="0"/>
  </xdr:twoCellAnchor>
  <xdr:twoCellAnchor editAs="oneCell">
    <xdr:from>
      <xdr:col>7</xdr:col>
      <xdr:colOff>44450</xdr:colOff>
      <xdr:row>5</xdr:row>
      <xdr:rowOff>44450</xdr:rowOff>
    </xdr:from>
    <xdr:to>
      <xdr:col>7</xdr:col>
      <xdr:colOff>571500</xdr:colOff>
      <xdr:row>7</xdr:row>
      <xdr:rowOff>56515</xdr:rowOff>
    </xdr:to>
    <xdr:sp macro="" textlink="">
      <xdr:nvSpPr>
        <xdr:cNvPr id="154629" name="Button 5" hidden="1">
          <a:extLst>
            <a:ext uri="{63B3BB69-23CF-44E3-9099-C40C66FF867C}">
              <a14:compatExt xmlns:a14="http://schemas.microsoft.com/office/drawing/2010/main" spid="_x0000_s154629"/>
            </a:ext>
            <a:ext uri="{FF2B5EF4-FFF2-40B4-BE49-F238E27FC236}">
              <a16:creationId xmlns:a16="http://schemas.microsoft.com/office/drawing/2014/main" id="{00000000-0008-0000-0300-000005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 クリア </a:t>
          </a:r>
        </a:p>
      </xdr:txBody>
    </xdr:sp>
    <xdr:clientData fLocksWithSheet="0" fPrintsWithSheet="0"/>
  </xdr:twoCellAnchor>
  <xdr:twoCellAnchor editAs="oneCell">
    <xdr:from>
      <xdr:col>8</xdr:col>
      <xdr:colOff>38100</xdr:colOff>
      <xdr:row>5</xdr:row>
      <xdr:rowOff>44450</xdr:rowOff>
    </xdr:from>
    <xdr:to>
      <xdr:col>8</xdr:col>
      <xdr:colOff>551815</xdr:colOff>
      <xdr:row>7</xdr:row>
      <xdr:rowOff>56515</xdr:rowOff>
    </xdr:to>
    <xdr:sp macro="" textlink="">
      <xdr:nvSpPr>
        <xdr:cNvPr id="154630" name="Button 6" hidden="1">
          <a:extLst>
            <a:ext uri="{63B3BB69-23CF-44E3-9099-C40C66FF867C}">
              <a14:compatExt xmlns:a14="http://schemas.microsoft.com/office/drawing/2010/main" spid="_x0000_s154630"/>
            </a:ext>
            <a:ext uri="{FF2B5EF4-FFF2-40B4-BE49-F238E27FC236}">
              <a16:creationId xmlns:a16="http://schemas.microsoft.com/office/drawing/2014/main" id="{00000000-0008-0000-0300-000006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 クリア </a:t>
          </a:r>
        </a:p>
      </xdr:txBody>
    </xdr:sp>
    <xdr:clientData fLocksWithSheet="0" fPrintsWithSheet="0"/>
  </xdr:twoCellAnchor>
  <xdr:twoCellAnchor editAs="oneCell">
    <xdr:from>
      <xdr:col>9</xdr:col>
      <xdr:colOff>25400</xdr:colOff>
      <xdr:row>5</xdr:row>
      <xdr:rowOff>44450</xdr:rowOff>
    </xdr:from>
    <xdr:to>
      <xdr:col>9</xdr:col>
      <xdr:colOff>723900</xdr:colOff>
      <xdr:row>7</xdr:row>
      <xdr:rowOff>56515</xdr:rowOff>
    </xdr:to>
    <xdr:sp macro="" textlink="">
      <xdr:nvSpPr>
        <xdr:cNvPr id="154631" name="Button 7" hidden="1">
          <a:extLst>
            <a:ext uri="{63B3BB69-23CF-44E3-9099-C40C66FF867C}">
              <a14:compatExt xmlns:a14="http://schemas.microsoft.com/office/drawing/2010/main" spid="_x0000_s154631"/>
            </a:ext>
            <a:ext uri="{FF2B5EF4-FFF2-40B4-BE49-F238E27FC236}">
              <a16:creationId xmlns:a16="http://schemas.microsoft.com/office/drawing/2014/main" id="{00000000-0008-0000-0300-000007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r>
            <a:rPr lang="ja-JP" altLang="en-US" sz="1200" b="0" i="0" u="none" strike="noStrike" baseline="0">
              <a:solidFill>
                <a:srgbClr val="000000"/>
              </a:solidFill>
              <a:latin typeface="BIZ UDPゴシック"/>
              <a:ea typeface="BIZ UDPゴシック"/>
            </a:rPr>
            <a:t> </a:t>
          </a:r>
        </a:p>
      </xdr:txBody>
    </xdr:sp>
    <xdr:clientData fLocksWithSheet="0" fPrintsWithSheet="0"/>
  </xdr:twoCellAnchor>
  <xdr:twoCellAnchor editAs="oneCell">
    <xdr:from>
      <xdr:col>7</xdr:col>
      <xdr:colOff>632460</xdr:colOff>
      <xdr:row>534</xdr:row>
      <xdr:rowOff>121920</xdr:rowOff>
    </xdr:from>
    <xdr:to>
      <xdr:col>18</xdr:col>
      <xdr:colOff>1</xdr:colOff>
      <xdr:row>541</xdr:row>
      <xdr:rowOff>97156</xdr:rowOff>
    </xdr:to>
    <xdr:grpSp>
      <xdr:nvGrpSpPr>
        <xdr:cNvPr id="9" name="グループ化 15">
          <a:extLst>
            <a:ext uri="{FF2B5EF4-FFF2-40B4-BE49-F238E27FC236}">
              <a16:creationId xmlns:a16="http://schemas.microsoft.com/office/drawing/2014/main" id="{A87AA216-DA0A-4DE0-9864-309E25F19EE0}"/>
            </a:ext>
          </a:extLst>
        </xdr:cNvPr>
        <xdr:cNvGrpSpPr>
          <a:grpSpLocks/>
        </xdr:cNvGrpSpPr>
      </xdr:nvGrpSpPr>
      <xdr:grpSpPr bwMode="auto">
        <a:xfrm>
          <a:off x="7556721" y="46454833"/>
          <a:ext cx="4298454" cy="1234193"/>
          <a:chOff x="923925" y="3305175"/>
          <a:chExt cx="5712361" cy="1476461"/>
        </a:xfrm>
      </xdr:grpSpPr>
      <xdr:pic>
        <xdr:nvPicPr>
          <xdr:cNvPr id="10" name="図 16">
            <a:extLst>
              <a:ext uri="{FF2B5EF4-FFF2-40B4-BE49-F238E27FC236}">
                <a16:creationId xmlns:a16="http://schemas.microsoft.com/office/drawing/2014/main" id="{24F83E1E-2DC0-7A36-2F0F-9710FA61ACB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00350" y="3305175"/>
            <a:ext cx="3835936" cy="619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1" name="図 17">
            <a:extLst>
              <a:ext uri="{FF2B5EF4-FFF2-40B4-BE49-F238E27FC236}">
                <a16:creationId xmlns:a16="http://schemas.microsoft.com/office/drawing/2014/main" id="{F7686B1E-9021-11CE-94C9-2CB95868E5C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23925" y="4162425"/>
            <a:ext cx="5677692" cy="619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6</xdr:col>
      <xdr:colOff>624840</xdr:colOff>
      <xdr:row>508</xdr:row>
      <xdr:rowOff>121920</xdr:rowOff>
    </xdr:from>
    <xdr:to>
      <xdr:col>10</xdr:col>
      <xdr:colOff>19685</xdr:colOff>
      <xdr:row>515</xdr:row>
      <xdr:rowOff>131443</xdr:rowOff>
    </xdr:to>
    <xdr:pic>
      <xdr:nvPicPr>
        <xdr:cNvPr id="15" name="図 20">
          <a:extLst>
            <a:ext uri="{FF2B5EF4-FFF2-40B4-BE49-F238E27FC236}">
              <a16:creationId xmlns:a16="http://schemas.microsoft.com/office/drawing/2014/main" id="{B7862C77-0FF0-4B21-B862-EBACC7382E1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583680" y="53812440"/>
          <a:ext cx="2651760" cy="1268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38100</xdr:colOff>
      <xdr:row>5</xdr:row>
      <xdr:rowOff>76200</xdr:rowOff>
    </xdr:from>
    <xdr:to>
      <xdr:col>4</xdr:col>
      <xdr:colOff>723900</xdr:colOff>
      <xdr:row>7</xdr:row>
      <xdr:rowOff>76200</xdr:rowOff>
    </xdr:to>
    <xdr:sp macro="" textlink="">
      <xdr:nvSpPr>
        <xdr:cNvPr id="154632" name="Button 8" hidden="1">
          <a:extLst>
            <a:ext uri="{63B3BB69-23CF-44E3-9099-C40C66FF867C}">
              <a14:compatExt xmlns:a14="http://schemas.microsoft.com/office/drawing/2010/main" spid="_x0000_s154632"/>
            </a:ext>
            <a:ext uri="{FF2B5EF4-FFF2-40B4-BE49-F238E27FC236}">
              <a16:creationId xmlns:a16="http://schemas.microsoft.com/office/drawing/2014/main" id="{00000000-0008-0000-0300-000008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 クリア </a:t>
          </a:r>
        </a:p>
      </xdr:txBody>
    </xdr:sp>
    <xdr:clientData fLocksWithSheet="0" fPrintsWithSheet="0"/>
  </xdr:twoCellAnchor>
  <xdr:twoCellAnchor editAs="oneCell">
    <xdr:from>
      <xdr:col>5</xdr:col>
      <xdr:colOff>63500</xdr:colOff>
      <xdr:row>5</xdr:row>
      <xdr:rowOff>76200</xdr:rowOff>
    </xdr:from>
    <xdr:to>
      <xdr:col>5</xdr:col>
      <xdr:colOff>740410</xdr:colOff>
      <xdr:row>7</xdr:row>
      <xdr:rowOff>76200</xdr:rowOff>
    </xdr:to>
    <xdr:sp macro="" textlink="">
      <xdr:nvSpPr>
        <xdr:cNvPr id="154633" name="Button 9" hidden="1">
          <a:extLst>
            <a:ext uri="{63B3BB69-23CF-44E3-9099-C40C66FF867C}">
              <a14:compatExt xmlns:a14="http://schemas.microsoft.com/office/drawing/2010/main" spid="_x0000_s154633"/>
            </a:ext>
            <a:ext uri="{FF2B5EF4-FFF2-40B4-BE49-F238E27FC236}">
              <a16:creationId xmlns:a16="http://schemas.microsoft.com/office/drawing/2014/main" id="{00000000-0008-0000-0300-000009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 クリア </a:t>
          </a:r>
        </a:p>
      </xdr:txBody>
    </xdr:sp>
    <xdr:clientData fLocksWithSheet="0" fPrintsWithSheet="0"/>
  </xdr:twoCellAnchor>
  <xdr:twoCellAnchor editAs="oneCell">
    <xdr:from>
      <xdr:col>6</xdr:col>
      <xdr:colOff>25400</xdr:colOff>
      <xdr:row>5</xdr:row>
      <xdr:rowOff>50800</xdr:rowOff>
    </xdr:from>
    <xdr:to>
      <xdr:col>6</xdr:col>
      <xdr:colOff>740410</xdr:colOff>
      <xdr:row>7</xdr:row>
      <xdr:rowOff>56515</xdr:rowOff>
    </xdr:to>
    <xdr:sp macro="" textlink="">
      <xdr:nvSpPr>
        <xdr:cNvPr id="154634" name="Button 10" hidden="1">
          <a:extLst>
            <a:ext uri="{63B3BB69-23CF-44E3-9099-C40C66FF867C}">
              <a14:compatExt xmlns:a14="http://schemas.microsoft.com/office/drawing/2010/main" spid="_x0000_s154634"/>
            </a:ext>
            <a:ext uri="{FF2B5EF4-FFF2-40B4-BE49-F238E27FC236}">
              <a16:creationId xmlns:a16="http://schemas.microsoft.com/office/drawing/2014/main" id="{00000000-0008-0000-0300-00000A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 クリア </a:t>
          </a:r>
        </a:p>
      </xdr:txBody>
    </xdr:sp>
    <xdr:clientData fLocksWithSheet="0" fPrintsWithSheet="0"/>
  </xdr:twoCellAnchor>
  <xdr:twoCellAnchor editAs="oneCell">
    <xdr:from>
      <xdr:col>7</xdr:col>
      <xdr:colOff>25400</xdr:colOff>
      <xdr:row>5</xdr:row>
      <xdr:rowOff>50800</xdr:rowOff>
    </xdr:from>
    <xdr:to>
      <xdr:col>7</xdr:col>
      <xdr:colOff>723900</xdr:colOff>
      <xdr:row>7</xdr:row>
      <xdr:rowOff>56515</xdr:rowOff>
    </xdr:to>
    <xdr:sp macro="" textlink="">
      <xdr:nvSpPr>
        <xdr:cNvPr id="154635" name="Button 11" hidden="1">
          <a:extLst>
            <a:ext uri="{63B3BB69-23CF-44E3-9099-C40C66FF867C}">
              <a14:compatExt xmlns:a14="http://schemas.microsoft.com/office/drawing/2010/main" spid="_x0000_s154635"/>
            </a:ext>
            <a:ext uri="{FF2B5EF4-FFF2-40B4-BE49-F238E27FC236}">
              <a16:creationId xmlns:a16="http://schemas.microsoft.com/office/drawing/2014/main" id="{00000000-0008-0000-0300-00000B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 クリア </a:t>
          </a:r>
        </a:p>
      </xdr:txBody>
    </xdr:sp>
    <xdr:clientData fLocksWithSheet="0" fPrintsWithSheet="0"/>
  </xdr:twoCellAnchor>
  <xdr:twoCellAnchor editAs="oneCell">
    <xdr:from>
      <xdr:col>8</xdr:col>
      <xdr:colOff>25400</xdr:colOff>
      <xdr:row>5</xdr:row>
      <xdr:rowOff>50800</xdr:rowOff>
    </xdr:from>
    <xdr:to>
      <xdr:col>8</xdr:col>
      <xdr:colOff>702310</xdr:colOff>
      <xdr:row>7</xdr:row>
      <xdr:rowOff>56515</xdr:rowOff>
    </xdr:to>
    <xdr:sp macro="" textlink="">
      <xdr:nvSpPr>
        <xdr:cNvPr id="154636" name="Button 12" hidden="1">
          <a:extLst>
            <a:ext uri="{63B3BB69-23CF-44E3-9099-C40C66FF867C}">
              <a14:compatExt xmlns:a14="http://schemas.microsoft.com/office/drawing/2010/main" spid="_x0000_s154636"/>
            </a:ext>
            <a:ext uri="{FF2B5EF4-FFF2-40B4-BE49-F238E27FC236}">
              <a16:creationId xmlns:a16="http://schemas.microsoft.com/office/drawing/2014/main" id="{00000000-0008-0000-0300-00000C5C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 クリア </a:t>
          </a:r>
        </a:p>
      </xdr:txBody>
    </xdr:sp>
    <xdr:clientData fLocksWithSheet="0" fPrintsWithSheet="0"/>
  </xdr:twoCellAnchor>
  <xdr:twoCellAnchor editAs="oneCell">
    <xdr:from>
      <xdr:col>3</xdr:col>
      <xdr:colOff>1380637</xdr:colOff>
      <xdr:row>517</xdr:row>
      <xdr:rowOff>18075</xdr:rowOff>
    </xdr:from>
    <xdr:to>
      <xdr:col>4</xdr:col>
      <xdr:colOff>117448</xdr:colOff>
      <xdr:row>518</xdr:row>
      <xdr:rowOff>58273</xdr:rowOff>
    </xdr:to>
    <xdr:sp macro="" textlink="">
      <xdr:nvSpPr>
        <xdr:cNvPr id="154624" name="楕円 154623">
          <a:extLst>
            <a:ext uri="{FF2B5EF4-FFF2-40B4-BE49-F238E27FC236}">
              <a16:creationId xmlns:a16="http://schemas.microsoft.com/office/drawing/2014/main" id="{82A05A71-2C86-727D-31E7-CCDE7326127B}"/>
            </a:ext>
          </a:extLst>
        </xdr:cNvPr>
        <xdr:cNvSpPr>
          <a:spLocks noChangeAspect="1"/>
        </xdr:cNvSpPr>
      </xdr:nvSpPr>
      <xdr:spPr>
        <a:xfrm>
          <a:off x="4304079" y="53768383"/>
          <a:ext cx="216850" cy="200756"/>
        </a:xfrm>
        <a:prstGeom prst="ellipse">
          <a:avLst/>
        </a:prstGeom>
        <a:solidFill>
          <a:schemeClr val="bg1"/>
        </a:solidFill>
        <a:ln>
          <a:solidFill>
            <a:schemeClr val="accent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BIZ UDPゴシック" panose="020B0400000000000000" pitchFamily="50" charset="-128"/>
              <a:ea typeface="BIZ UDPゴシック" panose="020B0400000000000000" pitchFamily="50" charset="-128"/>
            </a:rPr>
            <a:t>A</a:t>
          </a:r>
          <a:endParaRPr kumimoji="1" lang="ja-JP" altLang="en-US" sz="1100" b="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4</xdr:col>
      <xdr:colOff>699232</xdr:colOff>
      <xdr:row>517</xdr:row>
      <xdr:rowOff>11723</xdr:rowOff>
    </xdr:from>
    <xdr:to>
      <xdr:col>5</xdr:col>
      <xdr:colOff>92585</xdr:colOff>
      <xdr:row>518</xdr:row>
      <xdr:rowOff>59541</xdr:rowOff>
    </xdr:to>
    <xdr:sp macro="" textlink="">
      <xdr:nvSpPr>
        <xdr:cNvPr id="154637" name="楕円 154636">
          <a:extLst>
            <a:ext uri="{FF2B5EF4-FFF2-40B4-BE49-F238E27FC236}">
              <a16:creationId xmlns:a16="http://schemas.microsoft.com/office/drawing/2014/main" id="{208DF430-1871-468D-A90B-DBBFF8808144}"/>
            </a:ext>
          </a:extLst>
        </xdr:cNvPr>
        <xdr:cNvSpPr/>
      </xdr:nvSpPr>
      <xdr:spPr>
        <a:xfrm>
          <a:off x="5102713" y="53762031"/>
          <a:ext cx="220025" cy="210281"/>
        </a:xfrm>
        <a:prstGeom prst="ellipse">
          <a:avLst/>
        </a:prstGeom>
        <a:solidFill>
          <a:schemeClr val="bg1"/>
        </a:solidFill>
        <a:ln>
          <a:solidFill>
            <a:schemeClr val="accent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BIZ UDPゴシック" panose="020B0400000000000000" pitchFamily="50" charset="-128"/>
              <a:ea typeface="BIZ UDPゴシック" panose="020B0400000000000000" pitchFamily="50" charset="-128"/>
            </a:rPr>
            <a:t>B</a:t>
          </a:r>
          <a:endParaRPr kumimoji="1" lang="ja-JP" altLang="en-US" sz="1100" b="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5</xdr:col>
      <xdr:colOff>721214</xdr:colOff>
      <xdr:row>517</xdr:row>
      <xdr:rowOff>11723</xdr:rowOff>
    </xdr:from>
    <xdr:to>
      <xdr:col>6</xdr:col>
      <xdr:colOff>113297</xdr:colOff>
      <xdr:row>518</xdr:row>
      <xdr:rowOff>60176</xdr:rowOff>
    </xdr:to>
    <xdr:sp macro="" textlink="">
      <xdr:nvSpPr>
        <xdr:cNvPr id="154638" name="楕円 154637">
          <a:extLst>
            <a:ext uri="{FF2B5EF4-FFF2-40B4-BE49-F238E27FC236}">
              <a16:creationId xmlns:a16="http://schemas.microsoft.com/office/drawing/2014/main" id="{B264C180-AECB-4323-9439-1D35CD360CF9}"/>
            </a:ext>
          </a:extLst>
        </xdr:cNvPr>
        <xdr:cNvSpPr>
          <a:spLocks noChangeAspect="1"/>
        </xdr:cNvSpPr>
      </xdr:nvSpPr>
      <xdr:spPr>
        <a:xfrm>
          <a:off x="5952637" y="53762031"/>
          <a:ext cx="220025" cy="213456"/>
        </a:xfrm>
        <a:prstGeom prst="ellipse">
          <a:avLst/>
        </a:prstGeom>
        <a:solidFill>
          <a:schemeClr val="bg1"/>
        </a:solidFill>
        <a:ln>
          <a:solidFill>
            <a:schemeClr val="accent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BIZ UDPゴシック" panose="020B0400000000000000" pitchFamily="50" charset="-128"/>
              <a:ea typeface="BIZ UDPゴシック" panose="020B0400000000000000" pitchFamily="50" charset="-128"/>
            </a:rPr>
            <a:t>C</a:t>
          </a:r>
          <a:endParaRPr kumimoji="1" lang="ja-JP" altLang="en-US" sz="1100" b="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6</xdr:col>
      <xdr:colOff>721213</xdr:colOff>
      <xdr:row>517</xdr:row>
      <xdr:rowOff>7327</xdr:rowOff>
    </xdr:from>
    <xdr:to>
      <xdr:col>7</xdr:col>
      <xdr:colOff>93609</xdr:colOff>
      <xdr:row>518</xdr:row>
      <xdr:rowOff>55645</xdr:rowOff>
    </xdr:to>
    <xdr:sp macro="" textlink="">
      <xdr:nvSpPr>
        <xdr:cNvPr id="154639" name="楕円 154638">
          <a:extLst>
            <a:ext uri="{FF2B5EF4-FFF2-40B4-BE49-F238E27FC236}">
              <a16:creationId xmlns:a16="http://schemas.microsoft.com/office/drawing/2014/main" id="{DAA060BF-EC4E-47AB-902D-9AF84713EA01}"/>
            </a:ext>
          </a:extLst>
        </xdr:cNvPr>
        <xdr:cNvSpPr>
          <a:spLocks noChangeAspect="1"/>
        </xdr:cNvSpPr>
      </xdr:nvSpPr>
      <xdr:spPr>
        <a:xfrm>
          <a:off x="6774228" y="53754460"/>
          <a:ext cx="223200" cy="219671"/>
        </a:xfrm>
        <a:prstGeom prst="ellipse">
          <a:avLst/>
        </a:prstGeom>
        <a:solidFill>
          <a:schemeClr val="bg1"/>
        </a:solidFill>
        <a:ln>
          <a:solidFill>
            <a:schemeClr val="accent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BIZ UDPゴシック" panose="020B0400000000000000" pitchFamily="50" charset="-128"/>
              <a:ea typeface="BIZ UDPゴシック" panose="020B0400000000000000" pitchFamily="50" charset="-128"/>
            </a:rPr>
            <a:t>D</a:t>
          </a:r>
          <a:endParaRPr kumimoji="1" lang="ja-JP" altLang="en-US" sz="1100" b="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7</xdr:col>
      <xdr:colOff>697033</xdr:colOff>
      <xdr:row>517</xdr:row>
      <xdr:rowOff>9525</xdr:rowOff>
    </xdr:from>
    <xdr:to>
      <xdr:col>8</xdr:col>
      <xdr:colOff>95279</xdr:colOff>
      <xdr:row>518</xdr:row>
      <xdr:rowOff>58084</xdr:rowOff>
    </xdr:to>
    <xdr:sp macro="" textlink="">
      <xdr:nvSpPr>
        <xdr:cNvPr id="154640" name="楕円 154639">
          <a:extLst>
            <a:ext uri="{FF2B5EF4-FFF2-40B4-BE49-F238E27FC236}">
              <a16:creationId xmlns:a16="http://schemas.microsoft.com/office/drawing/2014/main" id="{DAAD1E8A-0E57-408E-B1EB-265765F82FE3}"/>
            </a:ext>
          </a:extLst>
        </xdr:cNvPr>
        <xdr:cNvSpPr>
          <a:spLocks noChangeAspect="1"/>
        </xdr:cNvSpPr>
      </xdr:nvSpPr>
      <xdr:spPr>
        <a:xfrm>
          <a:off x="7584341" y="53759833"/>
          <a:ext cx="210312" cy="193877"/>
        </a:xfrm>
        <a:prstGeom prst="ellipse">
          <a:avLst/>
        </a:prstGeom>
        <a:solidFill>
          <a:schemeClr val="bg1"/>
        </a:solidFill>
        <a:ln>
          <a:solidFill>
            <a:schemeClr val="accent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BIZ UDPゴシック" panose="020B0400000000000000" pitchFamily="50" charset="-128"/>
              <a:ea typeface="BIZ UDPゴシック" panose="020B0400000000000000" pitchFamily="50" charset="-128"/>
            </a:rPr>
            <a:t>E</a:t>
          </a:r>
          <a:endParaRPr kumimoji="1" lang="ja-JP" altLang="en-US" sz="1100" b="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8</xdr:col>
      <xdr:colOff>721212</xdr:colOff>
      <xdr:row>517</xdr:row>
      <xdr:rowOff>9524</xdr:rowOff>
    </xdr:from>
    <xdr:to>
      <xdr:col>9</xdr:col>
      <xdr:colOff>93610</xdr:colOff>
      <xdr:row>518</xdr:row>
      <xdr:rowOff>56291</xdr:rowOff>
    </xdr:to>
    <xdr:sp macro="" textlink="">
      <xdr:nvSpPr>
        <xdr:cNvPr id="154642" name="楕円 154641">
          <a:extLst>
            <a:ext uri="{FF2B5EF4-FFF2-40B4-BE49-F238E27FC236}">
              <a16:creationId xmlns:a16="http://schemas.microsoft.com/office/drawing/2014/main" id="{109294C4-F6D5-43A5-8126-C6FCF6230BDD}"/>
            </a:ext>
          </a:extLst>
        </xdr:cNvPr>
        <xdr:cNvSpPr>
          <a:spLocks noChangeAspect="1"/>
        </xdr:cNvSpPr>
      </xdr:nvSpPr>
      <xdr:spPr>
        <a:xfrm>
          <a:off x="8430112" y="53753482"/>
          <a:ext cx="216850" cy="223200"/>
        </a:xfrm>
        <a:prstGeom prst="ellipse">
          <a:avLst/>
        </a:prstGeom>
        <a:solidFill>
          <a:schemeClr val="bg1"/>
        </a:solidFill>
        <a:ln>
          <a:solidFill>
            <a:schemeClr val="accent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F</a:t>
          </a:r>
          <a:endParaRPr kumimoji="1" lang="ja-JP" altLang="en-US"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4</xdr:col>
      <xdr:colOff>63500</xdr:colOff>
      <xdr:row>5</xdr:row>
      <xdr:rowOff>88900</xdr:rowOff>
    </xdr:from>
    <xdr:to>
      <xdr:col>4</xdr:col>
      <xdr:colOff>706120</xdr:colOff>
      <xdr:row>7</xdr:row>
      <xdr:rowOff>96520</xdr:rowOff>
    </xdr:to>
    <xdr:sp macro="" textlink="">
      <xdr:nvSpPr>
        <xdr:cNvPr id="12" name="Button 2" hidden="1">
          <a:extLst>
            <a:ext uri="{63B3BB69-23CF-44E3-9099-C40C66FF867C}">
              <a14:compatExt xmlns:a14="http://schemas.microsoft.com/office/drawing/2010/main" spid="_x0000_s154626"/>
            </a:ext>
            <a:ext uri="{FF2B5EF4-FFF2-40B4-BE49-F238E27FC236}">
              <a16:creationId xmlns:a16="http://schemas.microsoft.com/office/drawing/2014/main" id="{00000000-0008-0000-0300-00000C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editAs="oneCell">
    <xdr:from>
      <xdr:col>5</xdr:col>
      <xdr:colOff>101600</xdr:colOff>
      <xdr:row>5</xdr:row>
      <xdr:rowOff>88900</xdr:rowOff>
    </xdr:from>
    <xdr:to>
      <xdr:col>5</xdr:col>
      <xdr:colOff>723900</xdr:colOff>
      <xdr:row>7</xdr:row>
      <xdr:rowOff>96520</xdr:rowOff>
    </xdr:to>
    <xdr:sp macro="" textlink="">
      <xdr:nvSpPr>
        <xdr:cNvPr id="13" name="Button 3" hidden="1">
          <a:extLst>
            <a:ext uri="{63B3BB69-23CF-44E3-9099-C40C66FF867C}">
              <a14:compatExt xmlns:a14="http://schemas.microsoft.com/office/drawing/2010/main" spid="_x0000_s154627"/>
            </a:ext>
            <a:ext uri="{FF2B5EF4-FFF2-40B4-BE49-F238E27FC236}">
              <a16:creationId xmlns:a16="http://schemas.microsoft.com/office/drawing/2014/main" id="{00000000-0008-0000-0300-00000D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editAs="oneCell">
    <xdr:from>
      <xdr:col>6</xdr:col>
      <xdr:colOff>50800</xdr:colOff>
      <xdr:row>5</xdr:row>
      <xdr:rowOff>76200</xdr:rowOff>
    </xdr:from>
    <xdr:to>
      <xdr:col>6</xdr:col>
      <xdr:colOff>706120</xdr:colOff>
      <xdr:row>7</xdr:row>
      <xdr:rowOff>92075</xdr:rowOff>
    </xdr:to>
    <xdr:sp macro="" textlink="">
      <xdr:nvSpPr>
        <xdr:cNvPr id="14" name="Button 4" hidden="1">
          <a:extLst>
            <a:ext uri="{63B3BB69-23CF-44E3-9099-C40C66FF867C}">
              <a14:compatExt xmlns:a14="http://schemas.microsoft.com/office/drawing/2010/main" spid="_x0000_s154628"/>
            </a:ext>
            <a:ext uri="{FF2B5EF4-FFF2-40B4-BE49-F238E27FC236}">
              <a16:creationId xmlns:a16="http://schemas.microsoft.com/office/drawing/2014/main" id="{00000000-0008-0000-0300-00000E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editAs="oneCell">
    <xdr:from>
      <xdr:col>7</xdr:col>
      <xdr:colOff>50800</xdr:colOff>
      <xdr:row>5</xdr:row>
      <xdr:rowOff>50800</xdr:rowOff>
    </xdr:from>
    <xdr:to>
      <xdr:col>7</xdr:col>
      <xdr:colOff>685800</xdr:colOff>
      <xdr:row>7</xdr:row>
      <xdr:rowOff>92075</xdr:rowOff>
    </xdr:to>
    <xdr:sp macro="" textlink="">
      <xdr:nvSpPr>
        <xdr:cNvPr id="16" name="Button 5" hidden="1">
          <a:extLst>
            <a:ext uri="{63B3BB69-23CF-44E3-9099-C40C66FF867C}">
              <a14:compatExt xmlns:a14="http://schemas.microsoft.com/office/drawing/2010/main" spid="_x0000_s154629"/>
            </a:ext>
            <a:ext uri="{FF2B5EF4-FFF2-40B4-BE49-F238E27FC236}">
              <a16:creationId xmlns:a16="http://schemas.microsoft.com/office/drawing/2014/main" id="{00000000-0008-0000-0300-000010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editAs="oneCell">
    <xdr:from>
      <xdr:col>8</xdr:col>
      <xdr:colOff>44450</xdr:colOff>
      <xdr:row>5</xdr:row>
      <xdr:rowOff>50800</xdr:rowOff>
    </xdr:from>
    <xdr:to>
      <xdr:col>8</xdr:col>
      <xdr:colOff>669925</xdr:colOff>
      <xdr:row>7</xdr:row>
      <xdr:rowOff>92075</xdr:rowOff>
    </xdr:to>
    <xdr:sp macro="" textlink="">
      <xdr:nvSpPr>
        <xdr:cNvPr id="17" name="Button 6" hidden="1">
          <a:extLst>
            <a:ext uri="{63B3BB69-23CF-44E3-9099-C40C66FF867C}">
              <a14:compatExt xmlns:a14="http://schemas.microsoft.com/office/drawing/2010/main" spid="_x0000_s154630"/>
            </a:ext>
            <a:ext uri="{FF2B5EF4-FFF2-40B4-BE49-F238E27FC236}">
              <a16:creationId xmlns:a16="http://schemas.microsoft.com/office/drawing/2014/main" id="{00000000-0008-0000-0300-000011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editAs="oneCell">
    <xdr:from>
      <xdr:col>9</xdr:col>
      <xdr:colOff>38100</xdr:colOff>
      <xdr:row>5</xdr:row>
      <xdr:rowOff>50800</xdr:rowOff>
    </xdr:from>
    <xdr:to>
      <xdr:col>10</xdr:col>
      <xdr:colOff>20320</xdr:colOff>
      <xdr:row>7</xdr:row>
      <xdr:rowOff>96520</xdr:rowOff>
    </xdr:to>
    <xdr:sp macro="" textlink="">
      <xdr:nvSpPr>
        <xdr:cNvPr id="18" name="Button 7" hidden="1">
          <a:extLst>
            <a:ext uri="{63B3BB69-23CF-44E3-9099-C40C66FF867C}">
              <a14:compatExt xmlns:a14="http://schemas.microsoft.com/office/drawing/2010/main" spid="_x0000_s154631"/>
            </a:ext>
            <a:ext uri="{FF2B5EF4-FFF2-40B4-BE49-F238E27FC236}">
              <a16:creationId xmlns:a16="http://schemas.microsoft.com/office/drawing/2014/main" id="{00000000-0008-0000-0300-000012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editAs="oneCell">
    <xdr:from>
      <xdr:col>4</xdr:col>
      <xdr:colOff>44450</xdr:colOff>
      <xdr:row>5</xdr:row>
      <xdr:rowOff>88900</xdr:rowOff>
    </xdr:from>
    <xdr:to>
      <xdr:col>5</xdr:col>
      <xdr:colOff>1856</xdr:colOff>
      <xdr:row>7</xdr:row>
      <xdr:rowOff>96520</xdr:rowOff>
    </xdr:to>
    <xdr:sp macro="" textlink="">
      <xdr:nvSpPr>
        <xdr:cNvPr id="19" name="Button 8" hidden="1">
          <a:extLst>
            <a:ext uri="{63B3BB69-23CF-44E3-9099-C40C66FF867C}">
              <a14:compatExt xmlns:a14="http://schemas.microsoft.com/office/drawing/2010/main" spid="_x0000_s154632"/>
            </a:ext>
            <a:ext uri="{FF2B5EF4-FFF2-40B4-BE49-F238E27FC236}">
              <a16:creationId xmlns:a16="http://schemas.microsoft.com/office/drawing/2014/main" id="{00000000-0008-0000-0300-000013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editAs="oneCell">
    <xdr:from>
      <xdr:col>5</xdr:col>
      <xdr:colOff>76200</xdr:colOff>
      <xdr:row>5</xdr:row>
      <xdr:rowOff>88900</xdr:rowOff>
    </xdr:from>
    <xdr:to>
      <xdr:col>6</xdr:col>
      <xdr:colOff>1075</xdr:colOff>
      <xdr:row>7</xdr:row>
      <xdr:rowOff>96520</xdr:rowOff>
    </xdr:to>
    <xdr:sp macro="" textlink="">
      <xdr:nvSpPr>
        <xdr:cNvPr id="20" name="Button 9" hidden="1">
          <a:extLst>
            <a:ext uri="{63B3BB69-23CF-44E3-9099-C40C66FF867C}">
              <a14:compatExt xmlns:a14="http://schemas.microsoft.com/office/drawing/2010/main" spid="_x0000_s154633"/>
            </a:ext>
            <a:ext uri="{FF2B5EF4-FFF2-40B4-BE49-F238E27FC236}">
              <a16:creationId xmlns:a16="http://schemas.microsoft.com/office/drawing/2014/main" id="{00000000-0008-0000-0300-000014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editAs="oneCell">
    <xdr:from>
      <xdr:col>6</xdr:col>
      <xdr:colOff>31750</xdr:colOff>
      <xdr:row>5</xdr:row>
      <xdr:rowOff>63500</xdr:rowOff>
    </xdr:from>
    <xdr:to>
      <xdr:col>7</xdr:col>
      <xdr:colOff>1073</xdr:colOff>
      <xdr:row>7</xdr:row>
      <xdr:rowOff>92075</xdr:rowOff>
    </xdr:to>
    <xdr:sp macro="" textlink="">
      <xdr:nvSpPr>
        <xdr:cNvPr id="21" name="Button 10" hidden="1">
          <a:extLst>
            <a:ext uri="{63B3BB69-23CF-44E3-9099-C40C66FF867C}">
              <a14:compatExt xmlns:a14="http://schemas.microsoft.com/office/drawing/2010/main" spid="_x0000_s154634"/>
            </a:ext>
            <a:ext uri="{FF2B5EF4-FFF2-40B4-BE49-F238E27FC236}">
              <a16:creationId xmlns:a16="http://schemas.microsoft.com/office/drawing/2014/main" id="{00000000-0008-0000-0300-000015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editAs="oneCell">
    <xdr:from>
      <xdr:col>7</xdr:col>
      <xdr:colOff>31750</xdr:colOff>
      <xdr:row>5</xdr:row>
      <xdr:rowOff>63500</xdr:rowOff>
    </xdr:from>
    <xdr:to>
      <xdr:col>8</xdr:col>
      <xdr:colOff>1857</xdr:colOff>
      <xdr:row>7</xdr:row>
      <xdr:rowOff>92075</xdr:rowOff>
    </xdr:to>
    <xdr:sp macro="" textlink="">
      <xdr:nvSpPr>
        <xdr:cNvPr id="22" name="Button 11" hidden="1">
          <a:extLst>
            <a:ext uri="{63B3BB69-23CF-44E3-9099-C40C66FF867C}">
              <a14:compatExt xmlns:a14="http://schemas.microsoft.com/office/drawing/2010/main" spid="_x0000_s154635"/>
            </a:ext>
            <a:ext uri="{FF2B5EF4-FFF2-40B4-BE49-F238E27FC236}">
              <a16:creationId xmlns:a16="http://schemas.microsoft.com/office/drawing/2014/main" id="{00000000-0008-0000-0300-000016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editAs="oneCell">
    <xdr:from>
      <xdr:col>8</xdr:col>
      <xdr:colOff>31750</xdr:colOff>
      <xdr:row>5</xdr:row>
      <xdr:rowOff>63500</xdr:rowOff>
    </xdr:from>
    <xdr:to>
      <xdr:col>9</xdr:col>
      <xdr:colOff>586</xdr:colOff>
      <xdr:row>7</xdr:row>
      <xdr:rowOff>92075</xdr:rowOff>
    </xdr:to>
    <xdr:sp macro="" textlink="">
      <xdr:nvSpPr>
        <xdr:cNvPr id="23" name="Button 12" hidden="1">
          <a:extLst>
            <a:ext uri="{63B3BB69-23CF-44E3-9099-C40C66FF867C}">
              <a14:compatExt xmlns:a14="http://schemas.microsoft.com/office/drawing/2010/main" spid="_x0000_s154636"/>
            </a:ext>
            <a:ext uri="{FF2B5EF4-FFF2-40B4-BE49-F238E27FC236}">
              <a16:creationId xmlns:a16="http://schemas.microsoft.com/office/drawing/2014/main" id="{00000000-0008-0000-0300-0000170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Ⓔクリア</a:t>
          </a:r>
        </a:p>
      </xdr:txBody>
    </xdr:sp>
    <xdr:clientData fLocksWithSheet="0" fPrintsWithSheet="0"/>
  </xdr:twoCellAnchor>
  <xdr:twoCellAnchor>
    <xdr:from>
      <xdr:col>9</xdr:col>
      <xdr:colOff>68383</xdr:colOff>
      <xdr:row>1</xdr:row>
      <xdr:rowOff>202222</xdr:rowOff>
    </xdr:from>
    <xdr:to>
      <xdr:col>10</xdr:col>
      <xdr:colOff>35169</xdr:colOff>
      <xdr:row>3</xdr:row>
      <xdr:rowOff>152400</xdr:rowOff>
    </xdr:to>
    <xdr:sp macro="" textlink="">
      <xdr:nvSpPr>
        <xdr:cNvPr id="29" name="テキスト ボックス 28">
          <a:extLst>
            <a:ext uri="{FF2B5EF4-FFF2-40B4-BE49-F238E27FC236}">
              <a16:creationId xmlns:a16="http://schemas.microsoft.com/office/drawing/2014/main" id="{5CEA597F-1E0B-8CEE-FC11-6FF82B572163}"/>
            </a:ext>
          </a:extLst>
        </xdr:cNvPr>
        <xdr:cNvSpPr txBox="1"/>
      </xdr:nvSpPr>
      <xdr:spPr>
        <a:xfrm>
          <a:off x="8497275" y="577360"/>
          <a:ext cx="781540" cy="424963"/>
        </a:xfrm>
        <a:prstGeom prst="rect">
          <a:avLst/>
        </a:prstGeom>
        <a:solidFill>
          <a:schemeClr val="bg1">
            <a:lumMod val="95000"/>
          </a:schemeClr>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nchorCtr="0"/>
        <a:lstStyle/>
        <a:p>
          <a:r>
            <a:rPr kumimoji="1" lang="ja-JP" altLang="en-US" sz="900">
              <a:solidFill>
                <a:schemeClr val="tx1">
                  <a:lumMod val="75000"/>
                  <a:lumOff val="25000"/>
                </a:schemeClr>
              </a:solidFill>
              <a:latin typeface="BIZ UDPゴシック" panose="020B0400000000000000" pitchFamily="50" charset="-128"/>
              <a:ea typeface="BIZ UDPゴシック" panose="020B0400000000000000" pitchFamily="50" charset="-128"/>
            </a:rPr>
            <a:t>  </a:t>
          </a:r>
          <a:r>
            <a:rPr kumimoji="1" lang="ja-JP" altLang="en-US" sz="900" baseline="0">
              <a:solidFill>
                <a:schemeClr val="tx1">
                  <a:lumMod val="75000"/>
                  <a:lumOff val="25000"/>
                </a:schemeClr>
              </a:solidFill>
              <a:latin typeface="BIZ UDPゴシック" panose="020B0400000000000000" pitchFamily="50" charset="-128"/>
              <a:ea typeface="BIZ UDPゴシック" panose="020B0400000000000000" pitchFamily="50" charset="-128"/>
            </a:rPr>
            <a:t>  </a:t>
          </a:r>
          <a:r>
            <a:rPr kumimoji="1" lang="ja-JP" altLang="en-US" sz="900">
              <a:solidFill>
                <a:schemeClr val="tx1">
                  <a:lumMod val="75000"/>
                  <a:lumOff val="25000"/>
                </a:schemeClr>
              </a:solidFill>
              <a:latin typeface="BIZ UDPゴシック" panose="020B0400000000000000" pitchFamily="50" charset="-128"/>
              <a:ea typeface="BIZ UDPゴシック" panose="020B0400000000000000" pitchFamily="50" charset="-128"/>
            </a:rPr>
            <a:t>  </a:t>
          </a:r>
          <a:r>
            <a:rPr kumimoji="1" lang="ja-JP" altLang="en-US" sz="900" b="1">
              <a:solidFill>
                <a:schemeClr val="tx1">
                  <a:lumMod val="75000"/>
                  <a:lumOff val="25000"/>
                </a:schemeClr>
              </a:solidFill>
              <a:latin typeface="BIZ UDPゴシック" panose="020B0400000000000000" pitchFamily="50" charset="-128"/>
              <a:ea typeface="BIZ UDPゴシック" panose="020B0400000000000000" pitchFamily="50" charset="-128"/>
            </a:rPr>
            <a:t>印刷</a:t>
          </a:r>
          <a:endParaRPr kumimoji="1" lang="en-US" altLang="ja-JP" sz="900" b="1">
            <a:solidFill>
              <a:schemeClr val="tx1">
                <a:lumMod val="75000"/>
                <a:lumOff val="25000"/>
              </a:schemeClr>
            </a:solidFill>
            <a:latin typeface="BIZ UDPゴシック" panose="020B0400000000000000" pitchFamily="50" charset="-128"/>
            <a:ea typeface="BIZ UDPゴシック" panose="020B0400000000000000" pitchFamily="50" charset="-128"/>
          </a:endParaRPr>
        </a:p>
        <a:p>
          <a:r>
            <a:rPr kumimoji="1" lang="ja-JP" altLang="en-US" sz="900" b="1" baseline="0">
              <a:solidFill>
                <a:schemeClr val="tx1">
                  <a:lumMod val="75000"/>
                  <a:lumOff val="25000"/>
                </a:schemeClr>
              </a:solidFill>
              <a:latin typeface="BIZ UDPゴシック" panose="020B0400000000000000" pitchFamily="50" charset="-128"/>
              <a:ea typeface="BIZ UDPゴシック" panose="020B0400000000000000" pitchFamily="50" charset="-128"/>
            </a:rPr>
            <a:t> </a:t>
          </a:r>
          <a:r>
            <a:rPr kumimoji="1" lang="en-US" altLang="ja-JP" sz="900" b="1" baseline="0">
              <a:solidFill>
                <a:schemeClr val="tx1">
                  <a:lumMod val="75000"/>
                  <a:lumOff val="25000"/>
                </a:schemeClr>
              </a:solidFill>
              <a:latin typeface="BIZ UDPゴシック" panose="020B0400000000000000" pitchFamily="50" charset="-128"/>
              <a:ea typeface="BIZ UDPゴシック" panose="020B0400000000000000" pitchFamily="50" charset="-128"/>
            </a:rPr>
            <a:t>(</a:t>
          </a:r>
          <a:r>
            <a:rPr kumimoji="1" lang="en-US" altLang="ja-JP" sz="900" b="1">
              <a:solidFill>
                <a:schemeClr val="tx1">
                  <a:lumMod val="75000"/>
                  <a:lumOff val="25000"/>
                </a:schemeClr>
              </a:solidFill>
              <a:latin typeface="BIZ UDPゴシック" panose="020B0400000000000000" pitchFamily="50" charset="-128"/>
              <a:ea typeface="BIZ UDPゴシック" panose="020B0400000000000000" pitchFamily="50" charset="-128"/>
            </a:rPr>
            <a:t>C</a:t>
          </a:r>
          <a:r>
            <a:rPr kumimoji="1" lang="ja-JP" altLang="en-US" sz="900" b="1">
              <a:solidFill>
                <a:schemeClr val="tx1">
                  <a:lumMod val="75000"/>
                  <a:lumOff val="25000"/>
                </a:schemeClr>
              </a:solidFill>
              <a:latin typeface="BIZ UDPゴシック" panose="020B0400000000000000" pitchFamily="50" charset="-128"/>
              <a:ea typeface="BIZ UDPゴシック" panose="020B0400000000000000" pitchFamily="50" charset="-128"/>
            </a:rPr>
            <a:t>ｔｒｌ</a:t>
          </a:r>
          <a:r>
            <a:rPr kumimoji="1" lang="ja-JP" altLang="en-US" sz="900" b="1" baseline="0">
              <a:solidFill>
                <a:schemeClr val="tx1">
                  <a:lumMod val="75000"/>
                  <a:lumOff val="25000"/>
                </a:schemeClr>
              </a:solidFill>
              <a:latin typeface="BIZ UDPゴシック" panose="020B0400000000000000" pitchFamily="50" charset="-128"/>
              <a:ea typeface="BIZ UDPゴシック" panose="020B0400000000000000" pitchFamily="50" charset="-128"/>
            </a:rPr>
            <a:t> </a:t>
          </a:r>
          <a:r>
            <a:rPr kumimoji="1" lang="ja-JP" altLang="en-US" sz="900" b="1">
              <a:solidFill>
                <a:schemeClr val="tx1">
                  <a:lumMod val="75000"/>
                  <a:lumOff val="25000"/>
                </a:schemeClr>
              </a:solidFill>
              <a:latin typeface="BIZ UDPゴシック" panose="020B0400000000000000" pitchFamily="50" charset="-128"/>
              <a:ea typeface="BIZ UDPゴシック" panose="020B0400000000000000" pitchFamily="50" charset="-128"/>
            </a:rPr>
            <a:t>＋</a:t>
          </a:r>
          <a:r>
            <a:rPr kumimoji="1" lang="ja-JP" altLang="en-US" sz="900" b="1" baseline="0">
              <a:solidFill>
                <a:schemeClr val="tx1">
                  <a:lumMod val="75000"/>
                  <a:lumOff val="25000"/>
                </a:schemeClr>
              </a:solidFill>
              <a:latin typeface="BIZ UDPゴシック" panose="020B0400000000000000" pitchFamily="50" charset="-128"/>
              <a:ea typeface="BIZ UDPゴシック" panose="020B0400000000000000" pitchFamily="50" charset="-128"/>
            </a:rPr>
            <a:t> </a:t>
          </a:r>
          <a:r>
            <a:rPr kumimoji="1" lang="en-US" altLang="ja-JP" sz="900" b="1">
              <a:solidFill>
                <a:schemeClr val="tx1">
                  <a:lumMod val="75000"/>
                  <a:lumOff val="25000"/>
                </a:schemeClr>
              </a:solidFill>
              <a:latin typeface="BIZ UDPゴシック" panose="020B0400000000000000" pitchFamily="50" charset="-128"/>
              <a:ea typeface="BIZ UDPゴシック" panose="020B0400000000000000" pitchFamily="50" charset="-128"/>
            </a:rPr>
            <a:t>P</a:t>
          </a:r>
          <a:r>
            <a:rPr kumimoji="1" lang="en-US" altLang="ja-JP" sz="900" b="1" baseline="0">
              <a:solidFill>
                <a:schemeClr val="tx1">
                  <a:lumMod val="75000"/>
                  <a:lumOff val="25000"/>
                </a:schemeClr>
              </a:solidFill>
              <a:latin typeface="BIZ UDPゴシック" panose="020B0400000000000000" pitchFamily="50" charset="-128"/>
              <a:ea typeface="BIZ UDPゴシック" panose="020B0400000000000000" pitchFamily="50" charset="-128"/>
            </a:rPr>
            <a:t>)</a:t>
          </a:r>
          <a:endParaRPr kumimoji="1" lang="ja-JP" altLang="en-US" sz="900" b="1">
            <a:solidFill>
              <a:schemeClr val="tx1">
                <a:lumMod val="75000"/>
                <a:lumOff val="25000"/>
              </a:schemeClr>
            </a:solidFill>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2007 - 2010">
  <a:themeElements>
    <a:clrScheme name="ユーザー定義 1">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00"/>
        </a:solidFill>
        <a:ln w="9525"/>
      </a:spPr>
      <a:bodyPr vertOverflow="clip" horzOverflow="clip" rtlCol="0" anchor="ctr"/>
      <a:lstStyle>
        <a:defPPr algn="l" rtl="0">
          <a:lnSpc>
            <a:spcPts val="1300"/>
          </a:lnSpc>
          <a:defRPr sz="1200" b="0" i="0" u="none" strike="noStrike" baseline="0">
            <a:solidFill>
              <a:schemeClr val="tx1"/>
            </a:solidFill>
            <a:latin typeface="BIZ UDPゴシック" panose="020B0400000000000000" pitchFamily="50" charset="-128"/>
            <a:ea typeface="BIZ UDPゴシック" panose="020B0400000000000000" pitchFamily="50" charset="-128"/>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14DA5-545B-4EB3-9EFE-153D7F508C91}">
  <sheetPr codeName="Sheet1">
    <pageSetUpPr fitToPage="1"/>
  </sheetPr>
  <dimension ref="A2:I94"/>
  <sheetViews>
    <sheetView showGridLines="0" showRowColHeaders="0" zoomScale="115" zoomScaleNormal="115" workbookViewId="0"/>
  </sheetViews>
  <sheetFormatPr defaultColWidth="8.81640625" defaultRowHeight="13.5" customHeight="1" x14ac:dyDescent="0.2"/>
  <cols>
    <col min="1" max="1" width="7.08984375" style="2" customWidth="1"/>
    <col min="2" max="2" width="26.453125" style="2" customWidth="1"/>
    <col min="3" max="3" width="22.1796875" style="2" customWidth="1"/>
    <col min="4" max="4" width="42.1796875" style="2" customWidth="1"/>
    <col min="5" max="5" width="11.81640625" style="2" customWidth="1"/>
    <col min="6" max="6" width="11.36328125" style="2" customWidth="1"/>
    <col min="7" max="7" width="11" style="2" customWidth="1"/>
    <col min="8" max="9" width="17.54296875" style="2" customWidth="1"/>
    <col min="10" max="10" width="11.6328125" style="2" customWidth="1"/>
    <col min="11" max="12" width="8.81640625" style="2"/>
    <col min="13" max="13" width="26.6328125" style="2" customWidth="1"/>
    <col min="14" max="14" width="42.6328125" style="2" customWidth="1"/>
    <col min="15" max="15" width="24.90625" style="2" customWidth="1"/>
    <col min="16" max="16" width="36.453125" style="2" customWidth="1"/>
    <col min="17" max="16384" width="8.81640625" style="2"/>
  </cols>
  <sheetData>
    <row r="2" spans="2:9" ht="25" customHeight="1" x14ac:dyDescent="0.2">
      <c r="B2" s="112" t="s">
        <v>190</v>
      </c>
      <c r="C2" s="113"/>
    </row>
    <row r="4" spans="2:9" ht="16.5" customHeight="1" x14ac:dyDescent="0.2">
      <c r="B4" s="1" t="s">
        <v>192</v>
      </c>
    </row>
    <row r="5" spans="2:9" ht="16.5" customHeight="1" x14ac:dyDescent="0.2">
      <c r="B5" s="2" t="s">
        <v>442</v>
      </c>
    </row>
    <row r="6" spans="2:9" ht="16.5" customHeight="1" x14ac:dyDescent="0.2">
      <c r="B6" s="2" t="s">
        <v>188</v>
      </c>
      <c r="F6" s="3"/>
    </row>
    <row r="7" spans="2:9" ht="16.5" customHeight="1" x14ac:dyDescent="0.2">
      <c r="F7" s="3"/>
    </row>
    <row r="8" spans="2:9" ht="16.5" customHeight="1" x14ac:dyDescent="0.2">
      <c r="F8" s="3"/>
    </row>
    <row r="9" spans="2:9" ht="16.5" customHeight="1" x14ac:dyDescent="0.2">
      <c r="B9" s="1" t="s">
        <v>189</v>
      </c>
      <c r="F9" s="3"/>
    </row>
    <row r="10" spans="2:9" s="38" customFormat="1" ht="16.5" customHeight="1" x14ac:dyDescent="0.2">
      <c r="B10" s="53" t="s">
        <v>628</v>
      </c>
    </row>
    <row r="11" spans="2:9" ht="16.5" customHeight="1" x14ac:dyDescent="0.2">
      <c r="B11" s="2" t="s">
        <v>439</v>
      </c>
      <c r="E11" s="58"/>
      <c r="F11" s="390" t="s">
        <v>528</v>
      </c>
      <c r="G11" s="391"/>
      <c r="H11" s="390" t="s">
        <v>698</v>
      </c>
      <c r="I11" s="391"/>
    </row>
    <row r="12" spans="2:9" ht="16.5" customHeight="1" x14ac:dyDescent="0.2">
      <c r="B12" s="2" t="s">
        <v>485</v>
      </c>
      <c r="E12" s="384" t="s">
        <v>486</v>
      </c>
      <c r="F12" s="382" t="s">
        <v>487</v>
      </c>
      <c r="G12" s="383" t="s">
        <v>488</v>
      </c>
      <c r="H12" s="382" t="s">
        <v>488</v>
      </c>
      <c r="I12" s="383"/>
    </row>
    <row r="13" spans="2:9" ht="16.5" customHeight="1" x14ac:dyDescent="0.2">
      <c r="B13" s="2" t="s">
        <v>699</v>
      </c>
      <c r="E13" s="385"/>
      <c r="F13" s="382" t="s">
        <v>489</v>
      </c>
      <c r="G13" s="383" t="s">
        <v>490</v>
      </c>
      <c r="H13" s="392" t="s">
        <v>490</v>
      </c>
      <c r="I13" s="393"/>
    </row>
    <row r="14" spans="2:9" s="38" customFormat="1" ht="16.5" customHeight="1" x14ac:dyDescent="0.2">
      <c r="B14" s="97" t="s">
        <v>674</v>
      </c>
      <c r="E14" s="385"/>
      <c r="F14" s="376" t="s">
        <v>491</v>
      </c>
      <c r="G14" s="378" t="s">
        <v>492</v>
      </c>
      <c r="H14" s="376" t="s">
        <v>492</v>
      </c>
      <c r="I14" s="378"/>
    </row>
    <row r="15" spans="2:9" ht="16.5" customHeight="1" x14ac:dyDescent="0.2">
      <c r="E15" s="386"/>
      <c r="F15" s="382" t="s">
        <v>493</v>
      </c>
      <c r="G15" s="383" t="s">
        <v>494</v>
      </c>
      <c r="H15" s="382" t="s">
        <v>494</v>
      </c>
      <c r="I15" s="383"/>
    </row>
    <row r="16" spans="2:9" s="38" customFormat="1" ht="16.5" customHeight="1" x14ac:dyDescent="0.2">
      <c r="B16" s="38" t="s">
        <v>629</v>
      </c>
      <c r="E16" s="384" t="s">
        <v>529</v>
      </c>
      <c r="F16" s="376" t="s">
        <v>495</v>
      </c>
      <c r="G16" s="378" t="s">
        <v>496</v>
      </c>
      <c r="H16" s="376" t="s">
        <v>496</v>
      </c>
      <c r="I16" s="378"/>
    </row>
    <row r="17" spans="2:9" s="38" customFormat="1" ht="16.5" customHeight="1" x14ac:dyDescent="0.2">
      <c r="B17" s="38" t="s">
        <v>630</v>
      </c>
      <c r="E17" s="385"/>
      <c r="F17" s="376" t="s">
        <v>497</v>
      </c>
      <c r="G17" s="378" t="s">
        <v>498</v>
      </c>
      <c r="H17" s="376" t="s">
        <v>498</v>
      </c>
      <c r="I17" s="378"/>
    </row>
    <row r="18" spans="2:9" s="38" customFormat="1" ht="16.5" customHeight="1" x14ac:dyDescent="0.2">
      <c r="B18" s="38" t="s">
        <v>631</v>
      </c>
      <c r="D18" s="98"/>
      <c r="E18" s="385"/>
      <c r="F18" s="376" t="s">
        <v>491</v>
      </c>
      <c r="G18" s="378" t="s">
        <v>499</v>
      </c>
      <c r="H18" s="376" t="s">
        <v>499</v>
      </c>
      <c r="I18" s="378"/>
    </row>
    <row r="19" spans="2:9" s="38" customFormat="1" ht="16.5" customHeight="1" x14ac:dyDescent="0.2">
      <c r="B19" s="87" t="s">
        <v>632</v>
      </c>
      <c r="D19" s="98"/>
      <c r="E19" s="385"/>
      <c r="F19" s="376" t="s">
        <v>500</v>
      </c>
      <c r="G19" s="378" t="s">
        <v>501</v>
      </c>
      <c r="H19" s="376" t="s">
        <v>501</v>
      </c>
      <c r="I19" s="378"/>
    </row>
    <row r="20" spans="2:9" ht="16.5" customHeight="1" x14ac:dyDescent="0.2">
      <c r="D20" s="10"/>
      <c r="E20" s="386"/>
      <c r="F20" s="382" t="s">
        <v>502</v>
      </c>
      <c r="G20" s="383" t="s">
        <v>503</v>
      </c>
      <c r="H20" s="382" t="s">
        <v>503</v>
      </c>
      <c r="I20" s="383"/>
    </row>
    <row r="21" spans="2:9" ht="16.5" customHeight="1" x14ac:dyDescent="0.2">
      <c r="B21" s="1" t="s">
        <v>633</v>
      </c>
      <c r="F21" s="3"/>
    </row>
    <row r="22" spans="2:9" s="38" customFormat="1" ht="16.5" customHeight="1" x14ac:dyDescent="0.2">
      <c r="B22" s="38" t="s">
        <v>634</v>
      </c>
      <c r="F22" s="87"/>
    </row>
    <row r="23" spans="2:9" ht="16.5" customHeight="1" x14ac:dyDescent="0.2">
      <c r="B23" s="2" t="s">
        <v>449</v>
      </c>
      <c r="F23" s="3"/>
    </row>
    <row r="24" spans="2:9" ht="30" customHeight="1" x14ac:dyDescent="0.2">
      <c r="B24" s="4" t="s">
        <v>507</v>
      </c>
      <c r="C24" s="387" t="s">
        <v>506</v>
      </c>
      <c r="D24" s="388"/>
      <c r="E24" s="388"/>
      <c r="F24" s="389"/>
      <c r="G24" s="4" t="s">
        <v>299</v>
      </c>
      <c r="H24" s="95" t="s">
        <v>364</v>
      </c>
      <c r="I24" s="96" t="s">
        <v>369</v>
      </c>
    </row>
    <row r="25" spans="2:9" ht="19.75" customHeight="1" x14ac:dyDescent="0.2">
      <c r="B25" s="91" t="s">
        <v>635</v>
      </c>
      <c r="C25" s="376" t="s">
        <v>636</v>
      </c>
      <c r="D25" s="377"/>
      <c r="E25" s="377"/>
      <c r="F25" s="378"/>
      <c r="G25" s="92" t="s">
        <v>87</v>
      </c>
      <c r="H25" s="92" t="s">
        <v>87</v>
      </c>
      <c r="I25" s="92" t="s">
        <v>87</v>
      </c>
    </row>
    <row r="26" spans="2:9" ht="19.75" customHeight="1" x14ac:dyDescent="0.2">
      <c r="B26" s="91" t="s">
        <v>637</v>
      </c>
      <c r="C26" s="376" t="s">
        <v>638</v>
      </c>
      <c r="D26" s="377"/>
      <c r="E26" s="377"/>
      <c r="F26" s="378"/>
      <c r="G26" s="92" t="s">
        <v>87</v>
      </c>
      <c r="H26" s="92" t="s">
        <v>87</v>
      </c>
      <c r="I26" s="92" t="s">
        <v>87</v>
      </c>
    </row>
    <row r="27" spans="2:9" ht="19.75" customHeight="1" x14ac:dyDescent="0.2">
      <c r="B27" s="93" t="s">
        <v>639</v>
      </c>
      <c r="C27" s="376" t="s">
        <v>640</v>
      </c>
      <c r="D27" s="377"/>
      <c r="E27" s="377"/>
      <c r="F27" s="378"/>
      <c r="G27" s="92" t="s">
        <v>87</v>
      </c>
      <c r="H27" s="92" t="s">
        <v>87</v>
      </c>
      <c r="I27" s="92" t="s">
        <v>87</v>
      </c>
    </row>
    <row r="28" spans="2:9" ht="19.75" customHeight="1" x14ac:dyDescent="0.2">
      <c r="B28" s="91" t="s">
        <v>683</v>
      </c>
      <c r="C28" s="376" t="s">
        <v>354</v>
      </c>
      <c r="D28" s="377"/>
      <c r="E28" s="377"/>
      <c r="F28" s="378"/>
      <c r="G28" s="94"/>
      <c r="H28" s="92" t="s">
        <v>87</v>
      </c>
      <c r="I28" s="92"/>
    </row>
    <row r="29" spans="2:9" ht="19.75" customHeight="1" x14ac:dyDescent="0.2">
      <c r="B29" s="91" t="s">
        <v>684</v>
      </c>
      <c r="C29" s="376" t="s">
        <v>446</v>
      </c>
      <c r="D29" s="377"/>
      <c r="E29" s="377"/>
      <c r="F29" s="378"/>
      <c r="G29" s="94"/>
      <c r="H29" s="92" t="s">
        <v>87</v>
      </c>
      <c r="I29" s="92" t="s">
        <v>87</v>
      </c>
    </row>
    <row r="30" spans="2:9" ht="19.75" customHeight="1" x14ac:dyDescent="0.2">
      <c r="B30" s="91" t="s">
        <v>410</v>
      </c>
      <c r="C30" s="376" t="s">
        <v>447</v>
      </c>
      <c r="D30" s="377"/>
      <c r="E30" s="377"/>
      <c r="F30" s="378"/>
      <c r="G30" s="94"/>
      <c r="H30" s="92" t="s">
        <v>87</v>
      </c>
      <c r="I30" s="92" t="s">
        <v>87</v>
      </c>
    </row>
    <row r="31" spans="2:9" s="38" customFormat="1" ht="16.5" customHeight="1" x14ac:dyDescent="0.2">
      <c r="B31" s="88" t="s">
        <v>685</v>
      </c>
      <c r="C31" s="89"/>
      <c r="D31" s="89"/>
      <c r="E31" s="88"/>
      <c r="F31" s="90"/>
    </row>
    <row r="32" spans="2:9" ht="16.5" customHeight="1" x14ac:dyDescent="0.2">
      <c r="B32" s="38" t="s">
        <v>641</v>
      </c>
      <c r="C32" s="37"/>
      <c r="D32" s="102"/>
      <c r="F32" s="3"/>
    </row>
    <row r="33" spans="2:7" ht="16.5" customHeight="1" x14ac:dyDescent="0.2">
      <c r="F33" s="3"/>
    </row>
    <row r="34" spans="2:7" s="5" customFormat="1" ht="16.5" customHeight="1" x14ac:dyDescent="0.2">
      <c r="B34" s="379" t="s">
        <v>400</v>
      </c>
      <c r="C34" s="379"/>
      <c r="D34" s="379"/>
      <c r="F34" s="6"/>
    </row>
    <row r="35" spans="2:7" ht="16.5" customHeight="1" x14ac:dyDescent="0.2">
      <c r="B35" s="2" t="s">
        <v>401</v>
      </c>
      <c r="F35" s="3"/>
    </row>
    <row r="36" spans="2:7" ht="16.5" customHeight="1" x14ac:dyDescent="0.2">
      <c r="B36" s="2" t="s">
        <v>402</v>
      </c>
      <c r="F36" s="3"/>
    </row>
    <row r="37" spans="2:7" ht="16.5" customHeight="1" x14ac:dyDescent="0.2">
      <c r="B37" s="5" t="s">
        <v>559</v>
      </c>
      <c r="F37" s="3"/>
    </row>
    <row r="38" spans="2:7" ht="16.5" customHeight="1" x14ac:dyDescent="0.2">
      <c r="F38" s="3"/>
    </row>
    <row r="39" spans="2:7" s="5" customFormat="1" ht="16.5" customHeight="1" x14ac:dyDescent="0.2">
      <c r="B39" s="1" t="s">
        <v>558</v>
      </c>
      <c r="F39" s="6"/>
    </row>
    <row r="40" spans="2:7" ht="16.5" customHeight="1" x14ac:dyDescent="0.2"/>
    <row r="41" spans="2:7" ht="16.5" customHeight="1" x14ac:dyDescent="0.2">
      <c r="B41" s="114" t="s">
        <v>642</v>
      </c>
      <c r="C41" s="104"/>
      <c r="D41" s="104"/>
      <c r="E41" s="104"/>
      <c r="F41" s="104"/>
      <c r="G41" s="38"/>
    </row>
    <row r="42" spans="2:7" ht="16.5" customHeight="1" x14ac:dyDescent="0.2">
      <c r="B42" s="73" t="s">
        <v>399</v>
      </c>
      <c r="C42" s="73" t="s">
        <v>191</v>
      </c>
      <c r="D42" s="380" t="s">
        <v>398</v>
      </c>
      <c r="E42" s="381"/>
    </row>
    <row r="43" spans="2:7" ht="47" customHeight="1" x14ac:dyDescent="0.2">
      <c r="B43" s="74" t="s">
        <v>193</v>
      </c>
      <c r="C43" s="75" t="s">
        <v>403</v>
      </c>
      <c r="D43" s="374" t="s">
        <v>357</v>
      </c>
      <c r="E43" s="375"/>
    </row>
    <row r="44" spans="2:7" ht="47" customHeight="1" x14ac:dyDescent="0.2">
      <c r="B44" s="74" t="s">
        <v>194</v>
      </c>
      <c r="C44" s="75" t="s">
        <v>403</v>
      </c>
      <c r="D44" s="374" t="s">
        <v>409</v>
      </c>
      <c r="E44" s="375"/>
    </row>
    <row r="45" spans="2:7" ht="47" customHeight="1" x14ac:dyDescent="0.2">
      <c r="B45" s="76" t="s">
        <v>195</v>
      </c>
      <c r="C45" s="75" t="s">
        <v>404</v>
      </c>
      <c r="D45" s="374" t="s">
        <v>643</v>
      </c>
      <c r="E45" s="375"/>
    </row>
    <row r="46" spans="2:7" s="7" customFormat="1" ht="16.5" customHeight="1" x14ac:dyDescent="0.2">
      <c r="C46" s="8"/>
      <c r="D46" s="9"/>
    </row>
    <row r="47" spans="2:7" ht="16.5" customHeight="1" x14ac:dyDescent="0.2">
      <c r="B47" s="2" t="s">
        <v>355</v>
      </c>
    </row>
    <row r="48" spans="2:7" ht="16.5" customHeight="1" x14ac:dyDescent="0.2">
      <c r="B48" s="38" t="s">
        <v>673</v>
      </c>
    </row>
    <row r="49" spans="2:3" ht="16.5" customHeight="1" x14ac:dyDescent="0.2">
      <c r="B49" s="38" t="s">
        <v>644</v>
      </c>
    </row>
    <row r="50" spans="2:3" s="38" customFormat="1" ht="16.5" customHeight="1" x14ac:dyDescent="0.2">
      <c r="B50" s="38" t="s">
        <v>645</v>
      </c>
    </row>
    <row r="51" spans="2:3" s="38" customFormat="1" ht="16.5" customHeight="1" x14ac:dyDescent="0.2">
      <c r="B51" s="38" t="s">
        <v>646</v>
      </c>
    </row>
    <row r="52" spans="2:3" s="38" customFormat="1" ht="16.5" customHeight="1" x14ac:dyDescent="0.2">
      <c r="B52" s="38" t="s">
        <v>647</v>
      </c>
    </row>
    <row r="53" spans="2:3" ht="16.5" customHeight="1" x14ac:dyDescent="0.2">
      <c r="B53" s="38" t="s">
        <v>526</v>
      </c>
    </row>
    <row r="54" spans="2:3" ht="16.5" customHeight="1" x14ac:dyDescent="0.2">
      <c r="B54" s="38" t="s">
        <v>672</v>
      </c>
    </row>
    <row r="55" spans="2:3" ht="16.5" customHeight="1" x14ac:dyDescent="0.2"/>
    <row r="56" spans="2:3" ht="16.5" customHeight="1" x14ac:dyDescent="0.2">
      <c r="B56" s="2" t="s">
        <v>527</v>
      </c>
    </row>
    <row r="57" spans="2:3" s="38" customFormat="1" ht="16.5" customHeight="1" x14ac:dyDescent="0.2">
      <c r="B57" s="38" t="s">
        <v>648</v>
      </c>
    </row>
    <row r="58" spans="2:3" ht="16.5" customHeight="1" x14ac:dyDescent="0.2">
      <c r="B58" s="2" t="s">
        <v>339</v>
      </c>
    </row>
    <row r="59" spans="2:3" ht="16.5" customHeight="1" x14ac:dyDescent="0.2">
      <c r="B59" s="2" t="s">
        <v>443</v>
      </c>
    </row>
    <row r="60" spans="2:3" ht="16.5" customHeight="1" x14ac:dyDescent="0.2">
      <c r="B60" s="2" t="s">
        <v>534</v>
      </c>
    </row>
    <row r="61" spans="2:3" ht="16.5" customHeight="1" x14ac:dyDescent="0.2">
      <c r="B61" s="38" t="s">
        <v>557</v>
      </c>
      <c r="C61" s="38"/>
    </row>
    <row r="62" spans="2:3" ht="16.5" customHeight="1" x14ac:dyDescent="0.2">
      <c r="B62" s="2" t="s">
        <v>622</v>
      </c>
    </row>
    <row r="63" spans="2:3" ht="16.5" customHeight="1" x14ac:dyDescent="0.2">
      <c r="B63" s="2" t="s">
        <v>687</v>
      </c>
    </row>
    <row r="64" spans="2:3" ht="16.5" customHeight="1" x14ac:dyDescent="0.2">
      <c r="B64" s="2" t="s">
        <v>592</v>
      </c>
    </row>
    <row r="65" spans="1:2" ht="16.5" customHeight="1" x14ac:dyDescent="0.2">
      <c r="B65" s="2" t="s">
        <v>602</v>
      </c>
    </row>
    <row r="66" spans="1:2" ht="16.5" customHeight="1" x14ac:dyDescent="0.2"/>
    <row r="67" spans="1:2" ht="16.5" customHeight="1" x14ac:dyDescent="0.2">
      <c r="A67" s="10"/>
      <c r="B67" s="11" t="s">
        <v>700</v>
      </c>
    </row>
    <row r="68" spans="1:2" s="38" customFormat="1" ht="16.5" customHeight="1" x14ac:dyDescent="0.2">
      <c r="B68" s="38" t="s">
        <v>649</v>
      </c>
    </row>
    <row r="69" spans="1:2" ht="16.5" customHeight="1" x14ac:dyDescent="0.2">
      <c r="B69" s="2" t="s">
        <v>532</v>
      </c>
    </row>
    <row r="70" spans="1:2" ht="16.5" customHeight="1" x14ac:dyDescent="0.2">
      <c r="B70" s="2" t="s">
        <v>531</v>
      </c>
    </row>
    <row r="71" spans="1:2" ht="16.5" customHeight="1" x14ac:dyDescent="0.2">
      <c r="B71" s="2" t="s">
        <v>608</v>
      </c>
    </row>
    <row r="72" spans="1:2" ht="16.5" customHeight="1" x14ac:dyDescent="0.2">
      <c r="B72" s="2" t="s">
        <v>619</v>
      </c>
    </row>
    <row r="73" spans="1:2" ht="16.5" customHeight="1" x14ac:dyDescent="0.2">
      <c r="B73" s="2" t="s">
        <v>621</v>
      </c>
    </row>
    <row r="74" spans="1:2" ht="16.5" customHeight="1" x14ac:dyDescent="0.2">
      <c r="B74" s="2" t="s">
        <v>620</v>
      </c>
    </row>
    <row r="75" spans="1:2" ht="16.5" customHeight="1" x14ac:dyDescent="0.2">
      <c r="B75" s="2" t="s">
        <v>533</v>
      </c>
    </row>
    <row r="76" spans="1:2" ht="16.5" customHeight="1" x14ac:dyDescent="0.2">
      <c r="B76" s="2" t="s">
        <v>593</v>
      </c>
    </row>
    <row r="77" spans="1:2" ht="16.5" customHeight="1" x14ac:dyDescent="0.2">
      <c r="B77" s="2" t="s">
        <v>603</v>
      </c>
    </row>
    <row r="78" spans="1:2" ht="16.5" customHeight="1" x14ac:dyDescent="0.2">
      <c r="B78" s="2" t="s">
        <v>618</v>
      </c>
    </row>
    <row r="79" spans="1:2" ht="16.5" customHeight="1" x14ac:dyDescent="0.2">
      <c r="B79" s="2" t="s">
        <v>650</v>
      </c>
    </row>
    <row r="80" spans="1:2" ht="16.5" customHeight="1" x14ac:dyDescent="0.2">
      <c r="B80" s="2" t="s">
        <v>671</v>
      </c>
    </row>
    <row r="81" spans="2:2" ht="16.5" customHeight="1" x14ac:dyDescent="0.2"/>
    <row r="82" spans="2:2" ht="16.5" customHeight="1" x14ac:dyDescent="0.2">
      <c r="B82" s="115" t="s">
        <v>356</v>
      </c>
    </row>
    <row r="83" spans="2:2" ht="16.5" customHeight="1" x14ac:dyDescent="0.2">
      <c r="B83" s="2" t="s">
        <v>504</v>
      </c>
    </row>
    <row r="84" spans="2:2" ht="16.5" customHeight="1" x14ac:dyDescent="0.2">
      <c r="B84" s="2" t="s">
        <v>505</v>
      </c>
    </row>
    <row r="88" spans="2:2" ht="13.5" customHeight="1" x14ac:dyDescent="0.2">
      <c r="B88" s="21"/>
    </row>
    <row r="89" spans="2:2" ht="13.5" customHeight="1" x14ac:dyDescent="0.2">
      <c r="B89" s="21"/>
    </row>
    <row r="90" spans="2:2" ht="13.5" customHeight="1" x14ac:dyDescent="0.2">
      <c r="B90" s="21"/>
    </row>
    <row r="91" spans="2:2" ht="13.5" customHeight="1" x14ac:dyDescent="0.2">
      <c r="B91" s="59"/>
    </row>
    <row r="92" spans="2:2" ht="13.5" customHeight="1" x14ac:dyDescent="0.2">
      <c r="B92" s="21"/>
    </row>
    <row r="93" spans="2:2" ht="13.5" customHeight="1" x14ac:dyDescent="0.2">
      <c r="B93" s="21"/>
    </row>
    <row r="94" spans="2:2" ht="13.5" customHeight="1" x14ac:dyDescent="0.2">
      <c r="B94" s="21"/>
    </row>
  </sheetData>
  <sheetProtection algorithmName="SHA-512" hashValue="Heq+J2dISLCHJS4xs6YyThtw74Myd1dWBH4TkNUw8vEFXsWkIZNhfmo5FtB4S1sNaJGinLkJ8vFjckTpSsS9bQ==" saltValue="8IfnA8p/MgZ6Fk0HQOatUg==" spinCount="100000" sheet="1" objects="1" scenarios="1"/>
  <mergeCells count="34">
    <mergeCell ref="F11:G11"/>
    <mergeCell ref="H11:I11"/>
    <mergeCell ref="E12:E15"/>
    <mergeCell ref="F12:G12"/>
    <mergeCell ref="H12:I12"/>
    <mergeCell ref="F13:G13"/>
    <mergeCell ref="H13:I13"/>
    <mergeCell ref="F14:G14"/>
    <mergeCell ref="H14:I14"/>
    <mergeCell ref="F15:G15"/>
    <mergeCell ref="C27:F27"/>
    <mergeCell ref="H15:I15"/>
    <mergeCell ref="E16:E20"/>
    <mergeCell ref="F16:G16"/>
    <mergeCell ref="H16:I16"/>
    <mergeCell ref="F17:G17"/>
    <mergeCell ref="H17:I17"/>
    <mergeCell ref="F18:G18"/>
    <mergeCell ref="H18:I18"/>
    <mergeCell ref="F19:G19"/>
    <mergeCell ref="H19:I19"/>
    <mergeCell ref="F20:G20"/>
    <mergeCell ref="H20:I20"/>
    <mergeCell ref="C24:F24"/>
    <mergeCell ref="C25:F25"/>
    <mergeCell ref="C26:F26"/>
    <mergeCell ref="D44:E44"/>
    <mergeCell ref="D45:E45"/>
    <mergeCell ref="C28:F28"/>
    <mergeCell ref="C29:F29"/>
    <mergeCell ref="C30:F30"/>
    <mergeCell ref="B34:D34"/>
    <mergeCell ref="D42:E42"/>
    <mergeCell ref="D43:E43"/>
  </mergeCells>
  <phoneticPr fontId="2"/>
  <pageMargins left="0.17" right="0.17" top="0.37" bottom="0.4" header="0.26" footer="0.3"/>
  <pageSetup paperSize="9" scale="58" orientation="portrait"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73F69-5B0C-45AE-9A29-4AC189CA6D13}">
  <sheetPr codeName="Sheet2">
    <pageSetUpPr fitToPage="1"/>
  </sheetPr>
  <dimension ref="A4:R44"/>
  <sheetViews>
    <sheetView showGridLines="0" showRowColHeaders="0" zoomScaleNormal="100" workbookViewId="0">
      <selection activeCell="M4" sqref="M4"/>
    </sheetView>
  </sheetViews>
  <sheetFormatPr defaultColWidth="8.81640625" defaultRowHeight="20.399999999999999" customHeight="1" x14ac:dyDescent="0.2"/>
  <cols>
    <col min="1" max="1" width="5" style="14" customWidth="1"/>
    <col min="2" max="10" width="8.81640625" style="14"/>
    <col min="11" max="11" width="13.453125" style="14" customWidth="1"/>
    <col min="12" max="12" width="13.1796875" style="14" customWidth="1"/>
    <col min="13" max="13" width="60.1796875" style="14" customWidth="1"/>
    <col min="14" max="14" width="8.81640625" style="18"/>
    <col min="15" max="15" width="8.81640625" style="14"/>
    <col min="16" max="16" width="8.6328125" style="14" customWidth="1"/>
    <col min="17" max="17" width="5.08984375" style="14" customWidth="1"/>
    <col min="18" max="18" width="11.1796875" style="14" customWidth="1"/>
    <col min="19" max="16384" width="8.81640625" style="14"/>
  </cols>
  <sheetData>
    <row r="4" spans="1:18" ht="20.399999999999999" customHeight="1" x14ac:dyDescent="0.2">
      <c r="B4" s="106" t="s">
        <v>272</v>
      </c>
      <c r="C4" s="107"/>
      <c r="D4" s="107"/>
      <c r="E4" s="108"/>
      <c r="F4" s="108"/>
      <c r="G4" s="108"/>
      <c r="H4" s="108"/>
      <c r="I4" s="108"/>
      <c r="J4" s="108"/>
      <c r="K4" s="108"/>
      <c r="L4" s="13"/>
      <c r="M4" s="106" t="s">
        <v>365</v>
      </c>
      <c r="N4" s="109"/>
      <c r="O4" s="108"/>
      <c r="P4" s="110"/>
      <c r="Q4" s="110"/>
      <c r="R4" s="110"/>
    </row>
    <row r="5" spans="1:18" ht="20.399999999999999" customHeight="1" x14ac:dyDescent="0.2">
      <c r="B5" s="13" t="s">
        <v>690</v>
      </c>
      <c r="C5" s="13"/>
      <c r="D5" s="13"/>
      <c r="E5" s="13"/>
      <c r="F5" s="13"/>
      <c r="G5" s="13"/>
      <c r="H5" s="13"/>
      <c r="I5" s="13"/>
      <c r="J5" s="13"/>
      <c r="K5" s="13"/>
      <c r="L5" s="13"/>
      <c r="M5" s="13" t="s">
        <v>508</v>
      </c>
      <c r="N5" s="15"/>
      <c r="O5" s="13"/>
    </row>
    <row r="6" spans="1:18" ht="20.399999999999999" customHeight="1" x14ac:dyDescent="0.2">
      <c r="B6" s="13" t="s">
        <v>691</v>
      </c>
      <c r="C6" s="13"/>
      <c r="D6" s="13"/>
      <c r="E6" s="13"/>
      <c r="F6" s="13"/>
      <c r="G6" s="13"/>
      <c r="H6" s="13"/>
      <c r="I6" s="13"/>
      <c r="J6" s="13"/>
      <c r="K6" s="13"/>
      <c r="L6" s="13"/>
      <c r="M6" s="13" t="s">
        <v>509</v>
      </c>
      <c r="N6" s="15"/>
      <c r="O6" s="13"/>
    </row>
    <row r="7" spans="1:18" ht="20.399999999999999" customHeight="1" x14ac:dyDescent="0.2">
      <c r="D7" s="13"/>
      <c r="E7" s="13"/>
      <c r="F7" s="13"/>
      <c r="G7" s="13"/>
      <c r="H7" s="13"/>
      <c r="I7" s="13"/>
      <c r="J7" s="13"/>
      <c r="K7" s="13"/>
      <c r="L7" s="13"/>
      <c r="M7" s="13"/>
      <c r="N7" s="15"/>
      <c r="O7" s="13"/>
    </row>
    <row r="8" spans="1:18" s="79" customFormat="1" ht="20.399999999999999" customHeight="1" x14ac:dyDescent="0.2">
      <c r="A8" s="14"/>
      <c r="B8" s="13" t="s">
        <v>692</v>
      </c>
      <c r="C8" s="13"/>
      <c r="D8" s="13"/>
      <c r="E8" s="13"/>
      <c r="F8" s="13"/>
      <c r="G8" s="13"/>
      <c r="H8" s="13"/>
      <c r="I8" s="13"/>
      <c r="J8" s="13"/>
      <c r="K8" s="13"/>
      <c r="L8" s="13"/>
      <c r="M8" s="78" t="s">
        <v>366</v>
      </c>
      <c r="N8" s="80"/>
      <c r="O8" s="78"/>
    </row>
    <row r="9" spans="1:18" s="79" customFormat="1" ht="20.399999999999999" customHeight="1" x14ac:dyDescent="0.2">
      <c r="B9" s="78" t="s">
        <v>405</v>
      </c>
      <c r="C9" s="78"/>
      <c r="D9" s="78"/>
      <c r="E9" s="78"/>
      <c r="F9" s="78"/>
      <c r="G9" s="78"/>
      <c r="H9" s="78"/>
      <c r="I9" s="78"/>
      <c r="J9" s="78"/>
      <c r="K9" s="78"/>
      <c r="L9" s="78"/>
      <c r="M9" s="395" t="s">
        <v>197</v>
      </c>
      <c r="N9" s="396"/>
      <c r="O9" s="396"/>
      <c r="P9" s="396"/>
      <c r="Q9" s="397"/>
      <c r="R9" s="81" t="s">
        <v>48</v>
      </c>
    </row>
    <row r="10" spans="1:18" s="79" customFormat="1" ht="20.399999999999999" customHeight="1" x14ac:dyDescent="0.2">
      <c r="B10" s="78" t="s">
        <v>344</v>
      </c>
      <c r="C10" s="78"/>
      <c r="M10" s="398" t="s">
        <v>408</v>
      </c>
      <c r="N10" s="399" t="s">
        <v>49</v>
      </c>
      <c r="O10" s="399"/>
      <c r="P10" s="399" t="s">
        <v>341</v>
      </c>
      <c r="Q10" s="400"/>
      <c r="R10" s="81" t="s">
        <v>341</v>
      </c>
    </row>
    <row r="11" spans="1:18" s="79" customFormat="1" ht="20.399999999999999" customHeight="1" x14ac:dyDescent="0.2">
      <c r="M11" s="398" t="s">
        <v>651</v>
      </c>
      <c r="N11" s="399" t="s">
        <v>50</v>
      </c>
      <c r="O11" s="399"/>
      <c r="P11" s="399" t="s">
        <v>342</v>
      </c>
      <c r="Q11" s="400"/>
      <c r="R11" s="81" t="s">
        <v>342</v>
      </c>
    </row>
    <row r="12" spans="1:18" s="79" customFormat="1" ht="20.399999999999999" customHeight="1" x14ac:dyDescent="0.2">
      <c r="B12" s="77" t="s">
        <v>510</v>
      </c>
      <c r="C12" s="78"/>
      <c r="D12" s="78"/>
      <c r="E12" s="78"/>
      <c r="F12" s="78"/>
      <c r="G12" s="78"/>
      <c r="H12" s="78"/>
      <c r="I12" s="78"/>
      <c r="J12" s="78"/>
      <c r="K12" s="78"/>
      <c r="L12" s="78"/>
      <c r="M12" s="398" t="s">
        <v>652</v>
      </c>
      <c r="N12" s="399" t="s">
        <v>51</v>
      </c>
      <c r="O12" s="399"/>
      <c r="P12" s="399" t="s">
        <v>343</v>
      </c>
      <c r="Q12" s="400"/>
      <c r="R12" s="81" t="s">
        <v>343</v>
      </c>
    </row>
    <row r="13" spans="1:18" s="79" customFormat="1" ht="20.399999999999999" customHeight="1" x14ac:dyDescent="0.2">
      <c r="B13" s="78" t="s">
        <v>511</v>
      </c>
      <c r="C13" s="78"/>
      <c r="D13" s="78"/>
      <c r="E13" s="78"/>
      <c r="F13" s="78"/>
      <c r="G13" s="78"/>
      <c r="H13" s="78"/>
      <c r="I13" s="78"/>
      <c r="J13" s="78"/>
      <c r="K13" s="78"/>
      <c r="L13" s="78"/>
      <c r="M13" s="401" t="s">
        <v>353</v>
      </c>
      <c r="N13" s="401"/>
      <c r="O13" s="401"/>
      <c r="P13" s="401"/>
      <c r="Q13" s="401"/>
      <c r="R13" s="401"/>
    </row>
    <row r="14" spans="1:18" s="79" customFormat="1" ht="20.399999999999999" customHeight="1" x14ac:dyDescent="0.2">
      <c r="B14" s="78" t="s">
        <v>512</v>
      </c>
      <c r="C14" s="78"/>
      <c r="D14" s="78"/>
      <c r="E14" s="78"/>
      <c r="F14" s="78"/>
      <c r="G14" s="78"/>
      <c r="H14" s="78"/>
      <c r="I14" s="78"/>
      <c r="J14" s="78"/>
      <c r="K14" s="78"/>
      <c r="L14" s="78"/>
      <c r="M14" s="394" t="s">
        <v>345</v>
      </c>
      <c r="N14" s="394"/>
      <c r="O14" s="394"/>
      <c r="P14" s="394"/>
      <c r="Q14" s="394"/>
      <c r="R14" s="394"/>
    </row>
    <row r="15" spans="1:18" s="79" customFormat="1" ht="20.399999999999999" customHeight="1" x14ac:dyDescent="0.2">
      <c r="B15" s="78" t="s">
        <v>653</v>
      </c>
      <c r="C15" s="78"/>
      <c r="D15" s="78"/>
      <c r="E15" s="78"/>
      <c r="F15" s="78"/>
      <c r="G15" s="78"/>
      <c r="H15" s="78"/>
      <c r="I15" s="78"/>
      <c r="J15" s="78"/>
      <c r="K15" s="78"/>
      <c r="L15" s="78"/>
      <c r="M15" s="394" t="s">
        <v>654</v>
      </c>
      <c r="N15" s="394"/>
      <c r="O15" s="394"/>
      <c r="P15" s="394"/>
      <c r="Q15" s="394"/>
      <c r="R15" s="394"/>
    </row>
    <row r="16" spans="1:18" ht="20.399999999999999" customHeight="1" x14ac:dyDescent="0.2">
      <c r="A16" s="79"/>
      <c r="B16" s="77" t="s">
        <v>340</v>
      </c>
      <c r="C16" s="78"/>
      <c r="D16" s="78"/>
      <c r="E16" s="78"/>
      <c r="F16" s="78"/>
      <c r="G16" s="78"/>
      <c r="H16" s="78"/>
      <c r="I16" s="78"/>
      <c r="J16" s="78"/>
      <c r="K16" s="78"/>
      <c r="L16" s="78"/>
      <c r="M16" s="17" t="s">
        <v>609</v>
      </c>
      <c r="N16" s="15"/>
      <c r="O16" s="13"/>
    </row>
    <row r="17" spans="2:18" ht="20.399999999999999" customHeight="1" x14ac:dyDescent="0.2">
      <c r="B17" s="16"/>
      <c r="C17" s="13"/>
      <c r="D17" s="13"/>
      <c r="E17" s="13"/>
      <c r="F17" s="13"/>
      <c r="G17" s="13"/>
      <c r="H17" s="13"/>
      <c r="I17" s="13"/>
      <c r="J17" s="13"/>
      <c r="K17" s="13"/>
      <c r="L17" s="13"/>
      <c r="M17" s="17"/>
      <c r="N17" s="15"/>
      <c r="O17" s="13"/>
    </row>
    <row r="18" spans="2:18" ht="20.399999999999999" customHeight="1" x14ac:dyDescent="0.2">
      <c r="B18" s="106" t="s">
        <v>273</v>
      </c>
      <c r="C18" s="107"/>
      <c r="D18" s="107"/>
      <c r="E18" s="107"/>
      <c r="F18" s="107"/>
      <c r="G18" s="107"/>
      <c r="H18" s="108"/>
      <c r="I18" s="108"/>
      <c r="J18" s="108"/>
      <c r="K18" s="108"/>
      <c r="L18" s="13"/>
      <c r="M18" s="106" t="s">
        <v>560</v>
      </c>
      <c r="N18" s="107"/>
      <c r="O18" s="108"/>
      <c r="P18" s="110"/>
      <c r="Q18" s="110"/>
      <c r="R18" s="110"/>
    </row>
    <row r="19" spans="2:18" ht="20.399999999999999" customHeight="1" x14ac:dyDescent="0.2">
      <c r="B19" s="13" t="s">
        <v>513</v>
      </c>
      <c r="C19" s="13"/>
      <c r="D19" s="13"/>
      <c r="E19" s="13"/>
      <c r="F19" s="13"/>
      <c r="G19" s="13"/>
      <c r="H19" s="13"/>
      <c r="I19" s="13"/>
      <c r="J19" s="13"/>
      <c r="K19" s="13"/>
      <c r="L19" s="13"/>
      <c r="M19" s="13" t="s">
        <v>514</v>
      </c>
      <c r="N19" s="13"/>
      <c r="O19" s="13"/>
    </row>
    <row r="20" spans="2:18" ht="20.399999999999999" customHeight="1" x14ac:dyDescent="0.2">
      <c r="B20" s="13" t="s">
        <v>515</v>
      </c>
      <c r="C20" s="13"/>
      <c r="D20" s="13"/>
      <c r="E20" s="13"/>
      <c r="F20" s="13"/>
      <c r="G20" s="13"/>
      <c r="H20" s="13"/>
      <c r="I20" s="13"/>
      <c r="J20" s="13"/>
      <c r="K20" s="13"/>
      <c r="L20" s="13"/>
      <c r="M20" s="78" t="s">
        <v>655</v>
      </c>
      <c r="N20" s="13"/>
      <c r="O20" s="13"/>
    </row>
    <row r="21" spans="2:18" ht="20.399999999999999" customHeight="1" x14ac:dyDescent="0.2">
      <c r="B21" s="13" t="s">
        <v>516</v>
      </c>
      <c r="C21" s="13"/>
      <c r="D21" s="13"/>
      <c r="E21" s="13"/>
      <c r="F21" s="13"/>
      <c r="G21" s="13"/>
      <c r="H21" s="13"/>
      <c r="I21" s="13"/>
      <c r="J21" s="13"/>
      <c r="K21" s="13"/>
      <c r="L21" s="13"/>
      <c r="M21" s="13" t="s">
        <v>656</v>
      </c>
      <c r="N21" s="13"/>
      <c r="O21" s="13"/>
    </row>
    <row r="22" spans="2:18" ht="20.399999999999999" customHeight="1" x14ac:dyDescent="0.2">
      <c r="B22" s="13" t="s">
        <v>693</v>
      </c>
      <c r="C22" s="13"/>
      <c r="D22" s="13"/>
      <c r="E22" s="13"/>
      <c r="F22" s="13"/>
      <c r="G22" s="13"/>
      <c r="H22" s="13"/>
      <c r="I22" s="13"/>
      <c r="J22" s="13"/>
      <c r="K22" s="13"/>
      <c r="L22" s="13"/>
      <c r="M22" s="13" t="s">
        <v>657</v>
      </c>
      <c r="N22" s="13"/>
      <c r="O22" s="13"/>
    </row>
    <row r="23" spans="2:18" ht="20.399999999999999" customHeight="1" x14ac:dyDescent="0.2">
      <c r="B23" s="13" t="s">
        <v>694</v>
      </c>
      <c r="C23" s="13"/>
      <c r="D23" s="13"/>
      <c r="E23" s="13"/>
      <c r="F23" s="13"/>
      <c r="G23" s="13"/>
      <c r="H23" s="13"/>
      <c r="I23" s="13"/>
      <c r="J23" s="13"/>
      <c r="K23" s="13"/>
      <c r="L23" s="13"/>
      <c r="M23" s="13" t="s">
        <v>658</v>
      </c>
      <c r="N23" s="13"/>
      <c r="O23" s="13"/>
    </row>
    <row r="24" spans="2:18" ht="20.399999999999999" customHeight="1" x14ac:dyDescent="0.2">
      <c r="B24" s="13" t="s">
        <v>695</v>
      </c>
      <c r="C24" s="13"/>
      <c r="D24" s="13"/>
      <c r="E24" s="13"/>
      <c r="F24" s="13"/>
      <c r="G24" s="13"/>
      <c r="H24" s="13"/>
      <c r="I24" s="13"/>
      <c r="J24" s="13"/>
      <c r="K24" s="13"/>
      <c r="L24" s="13"/>
      <c r="M24" s="13" t="s">
        <v>346</v>
      </c>
      <c r="N24" s="13"/>
      <c r="O24" s="13"/>
    </row>
    <row r="25" spans="2:18" ht="20.399999999999999" customHeight="1" x14ac:dyDescent="0.2">
      <c r="B25" s="13" t="s">
        <v>696</v>
      </c>
      <c r="C25" s="13"/>
      <c r="D25" s="13"/>
      <c r="E25" s="13"/>
      <c r="F25" s="13"/>
      <c r="G25" s="13"/>
      <c r="H25" s="13"/>
      <c r="I25" s="13"/>
      <c r="J25" s="13"/>
      <c r="K25" s="13"/>
      <c r="L25" s="13"/>
      <c r="M25" s="13" t="s">
        <v>659</v>
      </c>
      <c r="N25" s="13"/>
      <c r="O25" s="13"/>
    </row>
    <row r="26" spans="2:18" ht="20.399999999999999" customHeight="1" x14ac:dyDescent="0.2">
      <c r="B26" s="13" t="s">
        <v>697</v>
      </c>
      <c r="C26" s="13"/>
      <c r="D26" s="13"/>
      <c r="E26" s="13"/>
      <c r="F26" s="13"/>
      <c r="G26" s="13"/>
      <c r="H26" s="13"/>
      <c r="I26" s="13"/>
      <c r="J26" s="13"/>
      <c r="K26" s="13"/>
      <c r="L26" s="13"/>
      <c r="M26" s="13" t="s">
        <v>660</v>
      </c>
      <c r="N26" s="13"/>
      <c r="O26" s="13"/>
    </row>
    <row r="27" spans="2:18" s="79" customFormat="1" ht="20.399999999999999" customHeight="1" x14ac:dyDescent="0.2">
      <c r="B27" s="16" t="s">
        <v>340</v>
      </c>
      <c r="C27" s="78"/>
      <c r="D27" s="78"/>
      <c r="E27" s="78"/>
      <c r="F27" s="78"/>
      <c r="G27" s="78"/>
      <c r="H27" s="78"/>
      <c r="I27" s="78"/>
      <c r="J27" s="78"/>
      <c r="K27" s="78"/>
      <c r="L27" s="78"/>
      <c r="M27" s="82" t="s">
        <v>678</v>
      </c>
      <c r="N27" s="78"/>
      <c r="O27" s="78"/>
    </row>
    <row r="28" spans="2:18" ht="20.399999999999999" customHeight="1" x14ac:dyDescent="0.2">
      <c r="B28" s="13"/>
      <c r="C28" s="13"/>
      <c r="D28" s="13"/>
      <c r="E28" s="13"/>
      <c r="F28" s="13"/>
      <c r="G28" s="13"/>
      <c r="H28" s="13"/>
      <c r="I28" s="13"/>
      <c r="J28" s="13"/>
      <c r="K28" s="13"/>
      <c r="L28" s="13"/>
      <c r="M28" s="13"/>
      <c r="N28" s="15"/>
      <c r="O28" s="13"/>
    </row>
    <row r="29" spans="2:18" ht="20.399999999999999" customHeight="1" x14ac:dyDescent="0.2">
      <c r="B29" s="106" t="s">
        <v>274</v>
      </c>
      <c r="C29" s="107"/>
      <c r="D29" s="107"/>
      <c r="E29" s="108"/>
      <c r="F29" s="108"/>
      <c r="G29" s="108"/>
      <c r="H29" s="108"/>
      <c r="I29" s="108"/>
      <c r="J29" s="108"/>
      <c r="K29" s="108"/>
      <c r="L29" s="13"/>
      <c r="M29" s="106" t="s">
        <v>305</v>
      </c>
      <c r="N29" s="109"/>
      <c r="O29" s="108"/>
      <c r="P29" s="110"/>
      <c r="Q29" s="110"/>
      <c r="R29" s="110"/>
    </row>
    <row r="30" spans="2:18" s="79" customFormat="1" ht="20.399999999999999" customHeight="1" x14ac:dyDescent="0.2">
      <c r="B30" s="78" t="s">
        <v>517</v>
      </c>
      <c r="C30" s="78"/>
      <c r="D30" s="78"/>
      <c r="E30" s="78"/>
      <c r="F30" s="78"/>
      <c r="G30" s="78"/>
      <c r="H30" s="78"/>
      <c r="I30" s="78"/>
      <c r="J30" s="78"/>
      <c r="K30" s="78"/>
      <c r="L30" s="78"/>
      <c r="M30" s="78" t="s">
        <v>518</v>
      </c>
      <c r="N30" s="80"/>
      <c r="O30" s="78"/>
    </row>
    <row r="31" spans="2:18" s="79" customFormat="1" ht="20.399999999999999" customHeight="1" x14ac:dyDescent="0.2">
      <c r="B31" s="78" t="s">
        <v>661</v>
      </c>
      <c r="C31" s="78"/>
      <c r="D31" s="78"/>
      <c r="E31" s="78"/>
      <c r="F31" s="78"/>
      <c r="G31" s="78"/>
      <c r="H31" s="78"/>
      <c r="I31" s="78"/>
      <c r="J31" s="78"/>
      <c r="K31" s="78"/>
      <c r="L31" s="78"/>
      <c r="M31" s="78" t="s">
        <v>662</v>
      </c>
      <c r="N31" s="80"/>
      <c r="O31" s="78"/>
    </row>
    <row r="32" spans="2:18" s="79" customFormat="1" ht="20.399999999999999" customHeight="1" x14ac:dyDescent="0.2">
      <c r="B32" s="78" t="s">
        <v>519</v>
      </c>
      <c r="C32" s="78"/>
      <c r="D32" s="78"/>
      <c r="E32" s="78"/>
      <c r="F32" s="78"/>
      <c r="G32" s="78"/>
      <c r="H32" s="78"/>
      <c r="I32" s="78"/>
      <c r="J32" s="78"/>
      <c r="K32" s="78"/>
      <c r="L32" s="78"/>
      <c r="M32" s="78" t="s">
        <v>663</v>
      </c>
      <c r="N32" s="80"/>
      <c r="O32" s="78"/>
    </row>
    <row r="33" spans="2:18" ht="20.399999999999999" customHeight="1" x14ac:dyDescent="0.2">
      <c r="B33" s="16" t="s">
        <v>535</v>
      </c>
      <c r="C33" s="13"/>
      <c r="D33" s="13"/>
      <c r="E33" s="13"/>
      <c r="F33" s="13"/>
      <c r="G33" s="13"/>
      <c r="H33" s="13"/>
      <c r="I33" s="13"/>
      <c r="J33" s="13"/>
      <c r="K33" s="13"/>
      <c r="L33" s="13"/>
      <c r="M33" s="17" t="s">
        <v>664</v>
      </c>
      <c r="N33" s="15"/>
      <c r="O33" s="13"/>
    </row>
    <row r="34" spans="2:18" ht="20.399999999999999" customHeight="1" x14ac:dyDescent="0.2">
      <c r="B34" s="13"/>
      <c r="C34" s="13"/>
      <c r="D34" s="13"/>
      <c r="E34" s="13"/>
      <c r="F34" s="13"/>
      <c r="G34" s="13"/>
      <c r="H34" s="13"/>
      <c r="I34" s="13"/>
      <c r="J34" s="13"/>
      <c r="K34" s="13"/>
      <c r="L34" s="13"/>
    </row>
    <row r="35" spans="2:18" ht="20.399999999999999" hidden="1" customHeight="1" x14ac:dyDescent="0.2">
      <c r="B35" s="12"/>
      <c r="C35" s="12"/>
      <c r="D35" s="12"/>
      <c r="E35" s="12"/>
      <c r="F35" s="12"/>
      <c r="G35" s="12"/>
      <c r="H35" s="12"/>
      <c r="I35" s="12"/>
      <c r="J35" s="12"/>
      <c r="K35" s="12"/>
      <c r="L35" s="12"/>
      <c r="M35" s="106" t="s">
        <v>665</v>
      </c>
      <c r="N35" s="111"/>
      <c r="O35" s="110"/>
      <c r="P35" s="110"/>
      <c r="Q35" s="110"/>
      <c r="R35" s="110"/>
    </row>
    <row r="36" spans="2:18" s="79" customFormat="1" ht="20.399999999999999" hidden="1" customHeight="1" x14ac:dyDescent="0.2">
      <c r="B36" s="78"/>
      <c r="C36" s="78"/>
      <c r="D36" s="78"/>
      <c r="E36" s="78"/>
      <c r="F36" s="78"/>
      <c r="G36" s="78"/>
      <c r="H36" s="78"/>
      <c r="I36" s="78"/>
      <c r="J36" s="78"/>
      <c r="K36" s="78"/>
      <c r="L36" s="78"/>
      <c r="M36" s="78" t="s">
        <v>666</v>
      </c>
      <c r="N36" s="83"/>
    </row>
    <row r="37" spans="2:18" s="79" customFormat="1" ht="20.399999999999999" hidden="1" customHeight="1" x14ac:dyDescent="0.2">
      <c r="M37" s="84" t="s">
        <v>667</v>
      </c>
      <c r="N37" s="83"/>
    </row>
    <row r="38" spans="2:18" s="79" customFormat="1" ht="20.399999999999999" hidden="1" customHeight="1" x14ac:dyDescent="0.2">
      <c r="M38" s="82" t="s">
        <v>664</v>
      </c>
      <c r="N38" s="83"/>
    </row>
    <row r="39" spans="2:18" ht="20.399999999999999" hidden="1" customHeight="1" x14ac:dyDescent="0.2">
      <c r="B39" s="19"/>
      <c r="C39" s="19"/>
      <c r="D39" s="19"/>
      <c r="E39" s="19"/>
      <c r="F39" s="19"/>
      <c r="G39" s="19"/>
      <c r="H39" s="19"/>
      <c r="I39" s="19"/>
      <c r="J39" s="19"/>
      <c r="K39" s="19"/>
      <c r="L39" s="19"/>
    </row>
    <row r="40" spans="2:18" ht="20.399999999999999" customHeight="1" x14ac:dyDescent="0.2">
      <c r="B40" s="19"/>
      <c r="C40" s="19"/>
      <c r="D40" s="19"/>
      <c r="E40" s="19"/>
      <c r="F40" s="19"/>
      <c r="G40" s="19"/>
      <c r="H40" s="19"/>
      <c r="I40" s="19"/>
      <c r="J40" s="19"/>
      <c r="K40" s="19"/>
      <c r="L40" s="19"/>
    </row>
    <row r="41" spans="2:18" ht="20.399999999999999" customHeight="1" x14ac:dyDescent="0.2">
      <c r="B41" s="19"/>
      <c r="C41" s="19"/>
      <c r="D41" s="19"/>
      <c r="E41" s="19"/>
      <c r="F41" s="19"/>
      <c r="G41" s="19"/>
      <c r="H41" s="19"/>
      <c r="I41" s="19"/>
      <c r="J41" s="19"/>
      <c r="K41" s="19"/>
      <c r="L41" s="19"/>
    </row>
    <row r="42" spans="2:18" ht="20.399999999999999" customHeight="1" x14ac:dyDescent="0.2">
      <c r="B42" s="20"/>
      <c r="C42" s="19"/>
      <c r="D42" s="19"/>
      <c r="E42" s="19"/>
      <c r="F42" s="19"/>
      <c r="G42" s="19"/>
      <c r="H42" s="19"/>
      <c r="I42" s="19"/>
      <c r="J42" s="19"/>
      <c r="K42" s="19"/>
      <c r="L42" s="19"/>
    </row>
    <row r="43" spans="2:18" ht="20.399999999999999" customHeight="1" x14ac:dyDescent="0.2">
      <c r="B43" s="19"/>
      <c r="C43" s="19"/>
      <c r="D43" s="19"/>
      <c r="E43" s="19"/>
      <c r="F43" s="19"/>
      <c r="G43" s="19"/>
      <c r="H43" s="19"/>
      <c r="I43" s="19"/>
      <c r="J43" s="19"/>
      <c r="K43" s="19"/>
      <c r="L43" s="19"/>
    </row>
    <row r="44" spans="2:18" ht="20.399999999999999" customHeight="1" x14ac:dyDescent="0.2">
      <c r="B44" s="19"/>
      <c r="C44" s="19"/>
      <c r="D44" s="19"/>
      <c r="E44" s="19"/>
      <c r="F44" s="19"/>
      <c r="G44" s="19"/>
      <c r="H44" s="19"/>
      <c r="I44" s="19"/>
      <c r="J44" s="19"/>
      <c r="K44" s="19"/>
      <c r="L44" s="19"/>
    </row>
  </sheetData>
  <sheetProtection algorithmName="SHA-512" hashValue="LarJy8xe+q4SdFYiqFLFZPAkfdFL4HrVd89kUubPMo0jG/Xz6S6/zrJvNcIugCuuYTpkXMkaAiDcKC4ZJm4wuQ==" saltValue="cskQYql9TLYZdnvotlWxNA==" spinCount="100000" sheet="1" objects="1" scenarios="1"/>
  <mergeCells count="7">
    <mergeCell ref="M15:R15"/>
    <mergeCell ref="M9:Q9"/>
    <mergeCell ref="M10:Q10"/>
    <mergeCell ref="M11:Q11"/>
    <mergeCell ref="M12:Q12"/>
    <mergeCell ref="M13:R13"/>
    <mergeCell ref="M14:R14"/>
  </mergeCells>
  <phoneticPr fontId="2"/>
  <pageMargins left="0.32" right="0.19" top="0.51" bottom="0.75" header="0.3" footer="0.3"/>
  <pageSetup paperSize="9" scale="65"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0C03C-1413-4A36-B1EC-ADC861209F3C}">
  <sheetPr codeName="Sheet3">
    <pageSetUpPr fitToPage="1"/>
  </sheetPr>
  <dimension ref="B1:AB161"/>
  <sheetViews>
    <sheetView showGridLines="0" showRowColHeaders="0" zoomScaleNormal="100" workbookViewId="0">
      <selection activeCell="A2" sqref="A2"/>
    </sheetView>
  </sheetViews>
  <sheetFormatPr defaultColWidth="8.81640625" defaultRowHeight="13" x14ac:dyDescent="0.2"/>
  <cols>
    <col min="1" max="1" width="8.81640625" style="21" customWidth="1"/>
    <col min="2" max="2" width="15.08984375" style="21" customWidth="1"/>
    <col min="3" max="3" width="6.453125" style="21" customWidth="1"/>
    <col min="4" max="4" width="27.1796875" style="21" customWidth="1"/>
    <col min="5" max="5" width="15.81640625" style="21" customWidth="1"/>
    <col min="6" max="6" width="28" style="21" customWidth="1"/>
    <col min="7" max="7" width="12.90625" style="21" bestFit="1" customWidth="1"/>
    <col min="8" max="8" width="15.54296875" style="21" customWidth="1"/>
    <col min="9" max="9" width="23.08984375" style="21" customWidth="1"/>
    <col min="10" max="10" width="36.6328125" style="21" customWidth="1"/>
    <col min="11" max="11" width="118.54296875" style="21" customWidth="1"/>
    <col min="12" max="12" width="14.90625" style="39" customWidth="1"/>
    <col min="13" max="18" width="8.81640625" style="21"/>
    <col min="19" max="19" width="9.1796875" style="21" customWidth="1"/>
    <col min="20" max="20" width="8" style="21" bestFit="1" customWidth="1"/>
    <col min="21" max="21" width="10.08984375" style="21" bestFit="1" customWidth="1"/>
    <col min="22" max="22" width="27" style="21" bestFit="1" customWidth="1"/>
    <col min="23" max="23" width="28.1796875" style="39" customWidth="1"/>
    <col min="24" max="24" width="11.81640625" style="39" bestFit="1" customWidth="1"/>
    <col min="25" max="25" width="43.1796875" style="39" customWidth="1"/>
    <col min="26" max="26" width="13.453125" style="39" customWidth="1"/>
    <col min="27" max="27" width="15.6328125" style="39" bestFit="1" customWidth="1"/>
    <col min="28" max="28" width="48" style="39" bestFit="1" customWidth="1"/>
    <col min="29" max="29" width="79.90625" style="21" customWidth="1"/>
    <col min="30" max="16384" width="8.81640625" style="21"/>
  </cols>
  <sheetData>
    <row r="1" spans="2:28" ht="18.649999999999999" customHeight="1" x14ac:dyDescent="0.2"/>
    <row r="2" spans="2:28" s="2" customFormat="1" ht="18.649999999999999" customHeight="1" x14ac:dyDescent="0.2">
      <c r="B2" s="103" t="s">
        <v>352</v>
      </c>
      <c r="C2" s="104"/>
      <c r="D2" s="104"/>
      <c r="E2" s="104"/>
      <c r="F2" s="104"/>
      <c r="G2" s="104"/>
      <c r="H2" s="38"/>
      <c r="I2" s="38"/>
      <c r="J2" s="38"/>
      <c r="K2" s="38"/>
      <c r="L2" s="69"/>
      <c r="M2" s="38"/>
      <c r="N2" s="38"/>
      <c r="O2" s="38"/>
      <c r="P2" s="38"/>
      <c r="Q2" s="38"/>
      <c r="R2" s="38"/>
      <c r="S2" s="38"/>
      <c r="W2" s="10"/>
      <c r="X2" s="10"/>
      <c r="Y2" s="10"/>
      <c r="Z2" s="10"/>
      <c r="AA2" s="10"/>
      <c r="AB2" s="10"/>
    </row>
    <row r="3" spans="2:28" s="2" customFormat="1" ht="18.649999999999999" customHeight="1" x14ac:dyDescent="0.2">
      <c r="B3" s="53"/>
      <c r="C3" s="38"/>
      <c r="D3" s="38"/>
      <c r="E3" s="38"/>
      <c r="F3" s="38"/>
      <c r="G3" s="38"/>
      <c r="H3" s="38"/>
      <c r="I3" s="38"/>
      <c r="J3" s="38"/>
      <c r="K3" s="38"/>
      <c r="L3" s="69"/>
      <c r="M3" s="38"/>
      <c r="N3" s="38"/>
      <c r="O3" s="38"/>
      <c r="P3" s="38"/>
      <c r="Q3" s="38"/>
      <c r="R3" s="38"/>
      <c r="S3" s="38"/>
      <c r="W3" s="10"/>
      <c r="X3" s="10"/>
      <c r="Y3" s="10"/>
      <c r="Z3" s="10"/>
      <c r="AA3" s="10"/>
      <c r="AB3" s="10"/>
    </row>
    <row r="4" spans="2:28" ht="16.5" customHeight="1" x14ac:dyDescent="0.2"/>
    <row r="5" spans="2:28" ht="22.5" customHeight="1" x14ac:dyDescent="0.2">
      <c r="B5" s="52" t="s">
        <v>185</v>
      </c>
      <c r="H5" s="52" t="s">
        <v>688</v>
      </c>
      <c r="L5" s="70"/>
    </row>
    <row r="35" spans="2:2" ht="23" x14ac:dyDescent="0.2">
      <c r="B35" s="52" t="s">
        <v>477</v>
      </c>
    </row>
    <row r="71" spans="11:11" x14ac:dyDescent="0.2">
      <c r="K71" s="61"/>
    </row>
    <row r="108" spans="11:11" ht="17" customHeight="1" x14ac:dyDescent="0.2">
      <c r="K108" s="21" t="s">
        <v>600</v>
      </c>
    </row>
    <row r="109" spans="11:11" ht="17" customHeight="1" x14ac:dyDescent="0.2"/>
    <row r="110" spans="11:11" ht="17" customHeight="1" x14ac:dyDescent="0.2"/>
    <row r="111" spans="11:11" ht="17" customHeight="1" x14ac:dyDescent="0.2"/>
    <row r="112" spans="11:11" ht="17" customHeight="1" x14ac:dyDescent="0.2"/>
    <row r="113" spans="2:28" ht="17" customHeight="1" x14ac:dyDescent="0.2"/>
    <row r="114" spans="2:28" ht="17" customHeight="1" x14ac:dyDescent="0.2"/>
    <row r="115" spans="2:28" ht="17" customHeight="1" x14ac:dyDescent="0.2"/>
    <row r="116" spans="2:28" ht="17" customHeight="1" x14ac:dyDescent="0.2"/>
    <row r="117" spans="2:28" ht="17" customHeight="1" x14ac:dyDescent="0.2"/>
    <row r="118" spans="2:28" ht="17" customHeight="1" x14ac:dyDescent="0.2"/>
    <row r="119" spans="2:28" ht="17" customHeight="1" x14ac:dyDescent="0.2"/>
    <row r="120" spans="2:28" ht="17" customHeight="1" x14ac:dyDescent="0.2"/>
    <row r="121" spans="2:28" ht="17" customHeight="1" x14ac:dyDescent="0.2"/>
    <row r="122" spans="2:28" ht="17" customHeight="1" x14ac:dyDescent="0.2"/>
    <row r="123" spans="2:28" ht="17" hidden="1" customHeight="1" x14ac:dyDescent="0.2"/>
    <row r="124" spans="2:28" ht="17" hidden="1" customHeight="1" x14ac:dyDescent="0.2">
      <c r="B124" s="21" t="s">
        <v>689</v>
      </c>
    </row>
    <row r="125" spans="2:28" ht="16" hidden="1" customHeight="1" x14ac:dyDescent="0.2">
      <c r="K125" s="105"/>
      <c r="L125" s="69"/>
    </row>
    <row r="126" spans="2:28" ht="25.5" hidden="1" thickBot="1" x14ac:dyDescent="0.25">
      <c r="B126" s="51" t="s">
        <v>668</v>
      </c>
      <c r="C126" s="43"/>
      <c r="E126" s="85" t="s">
        <v>669</v>
      </c>
      <c r="F126" s="86"/>
      <c r="G126" s="402"/>
      <c r="H126" s="402"/>
      <c r="I126" s="402"/>
      <c r="J126" s="402"/>
      <c r="L126" s="42" t="s">
        <v>591</v>
      </c>
      <c r="N126" s="41"/>
      <c r="O126" s="41"/>
    </row>
    <row r="127" spans="2:28" ht="38" hidden="1" customHeight="1" x14ac:dyDescent="0.2">
      <c r="B127" s="67" t="s">
        <v>550</v>
      </c>
      <c r="C127" s="66" t="s">
        <v>476</v>
      </c>
      <c r="D127" s="62" t="s">
        <v>670</v>
      </c>
      <c r="E127" s="44" t="s">
        <v>453</v>
      </c>
      <c r="F127" s="56" t="s">
        <v>569</v>
      </c>
      <c r="G127" s="56" t="s">
        <v>483</v>
      </c>
      <c r="H127" s="56" t="s">
        <v>484</v>
      </c>
      <c r="I127" s="45" t="s">
        <v>561</v>
      </c>
      <c r="J127" s="45" t="s">
        <v>562</v>
      </c>
      <c r="K127" s="44" t="s">
        <v>520</v>
      </c>
      <c r="L127" s="60" t="s">
        <v>586</v>
      </c>
      <c r="M127" s="41"/>
      <c r="U127" s="39"/>
      <c r="V127" s="39"/>
      <c r="AA127" s="21"/>
      <c r="AB127" s="21"/>
    </row>
    <row r="128" spans="2:28" ht="38" hidden="1" customHeight="1" x14ac:dyDescent="0.2">
      <c r="B128" s="403" t="s">
        <v>553</v>
      </c>
      <c r="C128" s="101" t="s">
        <v>418</v>
      </c>
      <c r="D128" s="46" t="s">
        <v>461</v>
      </c>
      <c r="E128" s="44" t="s">
        <v>453</v>
      </c>
      <c r="F128" s="44" t="s">
        <v>466</v>
      </c>
      <c r="G128" s="44" t="s">
        <v>467</v>
      </c>
      <c r="H128" s="44" t="s">
        <v>467</v>
      </c>
      <c r="I128" s="63" t="s">
        <v>539</v>
      </c>
      <c r="J128" s="47" t="s">
        <v>452</v>
      </c>
      <c r="K128" s="48" t="s">
        <v>594</v>
      </c>
      <c r="L128" s="36" t="s">
        <v>585</v>
      </c>
      <c r="M128" s="41"/>
      <c r="U128" s="39"/>
      <c r="V128" s="39"/>
      <c r="AA128" s="21"/>
      <c r="AB128" s="21"/>
    </row>
    <row r="129" spans="2:28" ht="38" hidden="1" customHeight="1" x14ac:dyDescent="0.2">
      <c r="B129" s="404"/>
      <c r="C129" s="101" t="s">
        <v>419</v>
      </c>
      <c r="D129" s="46" t="s">
        <v>462</v>
      </c>
      <c r="E129" s="44" t="s">
        <v>453</v>
      </c>
      <c r="F129" s="44" t="s">
        <v>466</v>
      </c>
      <c r="G129" s="44" t="s">
        <v>467</v>
      </c>
      <c r="H129" s="44" t="s">
        <v>467</v>
      </c>
      <c r="I129" s="63" t="s">
        <v>539</v>
      </c>
      <c r="J129" s="47" t="s">
        <v>452</v>
      </c>
      <c r="K129" s="48" t="s">
        <v>595</v>
      </c>
      <c r="L129" s="36" t="s">
        <v>585</v>
      </c>
      <c r="M129" s="41"/>
      <c r="U129" s="39"/>
      <c r="V129" s="39"/>
      <c r="AA129" s="21"/>
      <c r="AB129" s="21"/>
    </row>
    <row r="130" spans="2:28" ht="38" hidden="1" customHeight="1" x14ac:dyDescent="0.2">
      <c r="B130" s="404"/>
      <c r="C130" s="101" t="s">
        <v>420</v>
      </c>
      <c r="D130" s="46" t="s">
        <v>450</v>
      </c>
      <c r="E130" s="44" t="s">
        <v>453</v>
      </c>
      <c r="F130" s="44" t="s">
        <v>466</v>
      </c>
      <c r="G130" s="44" t="s">
        <v>467</v>
      </c>
      <c r="H130" s="44" t="s">
        <v>467</v>
      </c>
      <c r="I130" s="63" t="s">
        <v>539</v>
      </c>
      <c r="J130" s="47" t="s">
        <v>452</v>
      </c>
      <c r="K130" s="54" t="s">
        <v>598</v>
      </c>
      <c r="L130" s="36" t="s">
        <v>585</v>
      </c>
      <c r="M130" s="41"/>
      <c r="U130" s="39"/>
      <c r="V130" s="39"/>
      <c r="AA130" s="21"/>
      <c r="AB130" s="21"/>
    </row>
    <row r="131" spans="2:28" ht="38" hidden="1" customHeight="1" x14ac:dyDescent="0.2">
      <c r="B131" s="404"/>
      <c r="C131" s="101" t="s">
        <v>421</v>
      </c>
      <c r="D131" s="46" t="s">
        <v>576</v>
      </c>
      <c r="E131" s="44" t="s">
        <v>451</v>
      </c>
      <c r="F131" s="44" t="s">
        <v>452</v>
      </c>
      <c r="G131" s="44" t="s">
        <v>467</v>
      </c>
      <c r="H131" s="44" t="s">
        <v>467</v>
      </c>
      <c r="I131" s="47" t="s">
        <v>626</v>
      </c>
      <c r="J131" s="47" t="s">
        <v>452</v>
      </c>
      <c r="K131" s="54" t="s">
        <v>582</v>
      </c>
      <c r="L131" s="36" t="s">
        <v>585</v>
      </c>
      <c r="M131" s="41"/>
      <c r="U131" s="39"/>
      <c r="V131" s="39"/>
      <c r="AA131" s="21"/>
      <c r="AB131" s="21"/>
    </row>
    <row r="132" spans="2:28" ht="38" hidden="1" customHeight="1" x14ac:dyDescent="0.2">
      <c r="B132" s="404"/>
      <c r="C132" s="101" t="s">
        <v>422</v>
      </c>
      <c r="D132" s="46" t="s">
        <v>457</v>
      </c>
      <c r="E132" s="44" t="s">
        <v>451</v>
      </c>
      <c r="F132" s="44" t="s">
        <v>452</v>
      </c>
      <c r="G132" s="44" t="s">
        <v>467</v>
      </c>
      <c r="H132" s="44" t="s">
        <v>467</v>
      </c>
      <c r="I132" s="47" t="s">
        <v>626</v>
      </c>
      <c r="J132" s="47" t="s">
        <v>452</v>
      </c>
      <c r="K132" s="54" t="s">
        <v>601</v>
      </c>
      <c r="L132" s="36" t="s">
        <v>585</v>
      </c>
      <c r="M132" s="41"/>
      <c r="U132" s="39"/>
      <c r="V132" s="39"/>
      <c r="AA132" s="21"/>
      <c r="AB132" s="21"/>
    </row>
    <row r="133" spans="2:28" ht="38" hidden="1" customHeight="1" x14ac:dyDescent="0.2">
      <c r="B133" s="404"/>
      <c r="C133" s="101" t="s">
        <v>423</v>
      </c>
      <c r="D133" s="46" t="s">
        <v>460</v>
      </c>
      <c r="E133" s="44" t="s">
        <v>451</v>
      </c>
      <c r="F133" s="44" t="s">
        <v>452</v>
      </c>
      <c r="G133" s="44" t="s">
        <v>467</v>
      </c>
      <c r="H133" s="44" t="s">
        <v>467</v>
      </c>
      <c r="I133" s="47" t="s">
        <v>626</v>
      </c>
      <c r="J133" s="47" t="s">
        <v>452</v>
      </c>
      <c r="K133" s="48" t="s">
        <v>572</v>
      </c>
      <c r="L133" s="36" t="s">
        <v>585</v>
      </c>
      <c r="M133" s="41"/>
      <c r="U133" s="39"/>
      <c r="V133" s="39"/>
      <c r="AA133" s="21"/>
      <c r="AB133" s="21"/>
    </row>
    <row r="134" spans="2:28" ht="38" hidden="1" customHeight="1" x14ac:dyDescent="0.2">
      <c r="B134" s="404"/>
      <c r="C134" s="101" t="s">
        <v>424</v>
      </c>
      <c r="D134" s="46" t="s">
        <v>463</v>
      </c>
      <c r="E134" s="44" t="s">
        <v>451</v>
      </c>
      <c r="F134" s="44" t="s">
        <v>452</v>
      </c>
      <c r="G134" s="44" t="s">
        <v>467</v>
      </c>
      <c r="H134" s="44" t="s">
        <v>467</v>
      </c>
      <c r="I134" s="47" t="s">
        <v>626</v>
      </c>
      <c r="J134" s="47" t="s">
        <v>452</v>
      </c>
      <c r="K134" s="48" t="s">
        <v>573</v>
      </c>
      <c r="L134" s="36" t="s">
        <v>585</v>
      </c>
      <c r="M134" s="41"/>
      <c r="U134" s="39"/>
      <c r="V134" s="39"/>
      <c r="AA134" s="21"/>
      <c r="AB134" s="21"/>
    </row>
    <row r="135" spans="2:28" ht="38" hidden="1" customHeight="1" x14ac:dyDescent="0.2">
      <c r="B135" s="404"/>
      <c r="C135" s="101" t="s">
        <v>425</v>
      </c>
      <c r="D135" s="46" t="s">
        <v>545</v>
      </c>
      <c r="E135" s="44" t="s">
        <v>453</v>
      </c>
      <c r="F135" s="44" t="s">
        <v>480</v>
      </c>
      <c r="G135" s="44" t="s">
        <v>467</v>
      </c>
      <c r="H135" s="44" t="s">
        <v>467</v>
      </c>
      <c r="I135" s="63" t="s">
        <v>540</v>
      </c>
      <c r="J135" s="47" t="s">
        <v>452</v>
      </c>
      <c r="K135" s="48" t="s">
        <v>599</v>
      </c>
      <c r="L135" s="36" t="s">
        <v>585</v>
      </c>
      <c r="M135" s="41"/>
      <c r="U135" s="39"/>
      <c r="V135" s="39"/>
      <c r="AA135" s="21"/>
      <c r="AB135" s="21"/>
    </row>
    <row r="136" spans="2:28" ht="38" hidden="1" customHeight="1" x14ac:dyDescent="0.2">
      <c r="B136" s="404"/>
      <c r="C136" s="101" t="s">
        <v>426</v>
      </c>
      <c r="D136" s="46" t="s">
        <v>464</v>
      </c>
      <c r="E136" s="44" t="s">
        <v>453</v>
      </c>
      <c r="F136" s="44" t="s">
        <v>480</v>
      </c>
      <c r="G136" s="44" t="s">
        <v>467</v>
      </c>
      <c r="H136" s="44" t="s">
        <v>467</v>
      </c>
      <c r="I136" s="63" t="s">
        <v>540</v>
      </c>
      <c r="J136" s="47" t="s">
        <v>452</v>
      </c>
      <c r="K136" s="54" t="s">
        <v>597</v>
      </c>
      <c r="L136" s="36" t="s">
        <v>585</v>
      </c>
      <c r="M136" s="41"/>
      <c r="U136" s="39"/>
      <c r="V136" s="39"/>
      <c r="AA136" s="21"/>
      <c r="AB136" s="21"/>
    </row>
    <row r="137" spans="2:28" ht="47" hidden="1" customHeight="1" x14ac:dyDescent="0.2">
      <c r="B137" s="405"/>
      <c r="C137" s="101" t="s">
        <v>538</v>
      </c>
      <c r="D137" s="64" t="s">
        <v>482</v>
      </c>
      <c r="E137" s="44" t="s">
        <v>453</v>
      </c>
      <c r="F137" s="55" t="s">
        <v>481</v>
      </c>
      <c r="G137" s="44" t="s">
        <v>467</v>
      </c>
      <c r="H137" s="44" t="s">
        <v>467</v>
      </c>
      <c r="I137" s="63" t="s">
        <v>556</v>
      </c>
      <c r="J137" s="47" t="s">
        <v>452</v>
      </c>
      <c r="K137" s="54" t="s">
        <v>574</v>
      </c>
      <c r="L137" s="36" t="s">
        <v>585</v>
      </c>
      <c r="M137" s="41"/>
      <c r="U137" s="39"/>
      <c r="V137" s="39"/>
      <c r="AA137" s="21"/>
      <c r="AB137" s="21"/>
    </row>
    <row r="138" spans="2:28" ht="38" hidden="1" customHeight="1" x14ac:dyDescent="0.2">
      <c r="B138" s="403" t="s">
        <v>552</v>
      </c>
      <c r="C138" s="101">
        <v>67</v>
      </c>
      <c r="D138" s="57" t="s">
        <v>583</v>
      </c>
      <c r="E138" s="44" t="s">
        <v>453</v>
      </c>
      <c r="F138" s="44" t="s">
        <v>470</v>
      </c>
      <c r="G138" s="47" t="s">
        <v>467</v>
      </c>
      <c r="H138" s="44" t="s">
        <v>467</v>
      </c>
      <c r="I138" s="63" t="s">
        <v>540</v>
      </c>
      <c r="J138" s="47" t="s">
        <v>452</v>
      </c>
      <c r="K138" s="48" t="s">
        <v>616</v>
      </c>
      <c r="L138" s="71">
        <v>0.39629999999999999</v>
      </c>
      <c r="M138" s="41"/>
      <c r="U138" s="39"/>
      <c r="V138" s="39"/>
      <c r="AA138" s="21"/>
      <c r="AB138" s="21"/>
    </row>
    <row r="139" spans="2:28" ht="38" hidden="1" customHeight="1" x14ac:dyDescent="0.2">
      <c r="B139" s="404"/>
      <c r="C139" s="101">
        <v>68</v>
      </c>
      <c r="D139" s="46" t="s">
        <v>459</v>
      </c>
      <c r="E139" s="44" t="s">
        <v>453</v>
      </c>
      <c r="F139" s="44" t="s">
        <v>471</v>
      </c>
      <c r="G139" s="47" t="s">
        <v>467</v>
      </c>
      <c r="H139" s="44" t="s">
        <v>467</v>
      </c>
      <c r="I139" s="63" t="s">
        <v>540</v>
      </c>
      <c r="J139" s="47" t="s">
        <v>452</v>
      </c>
      <c r="K139" s="48" t="s">
        <v>589</v>
      </c>
      <c r="L139" s="71">
        <v>0.39629999999999999</v>
      </c>
      <c r="M139" s="41"/>
      <c r="U139" s="39"/>
      <c r="V139" s="39"/>
      <c r="AA139" s="21"/>
      <c r="AB139" s="21"/>
    </row>
    <row r="140" spans="2:28" ht="38" hidden="1" customHeight="1" x14ac:dyDescent="0.2">
      <c r="B140" s="404"/>
      <c r="C140" s="101">
        <v>69</v>
      </c>
      <c r="D140" s="46" t="s">
        <v>566</v>
      </c>
      <c r="E140" s="44" t="s">
        <v>453</v>
      </c>
      <c r="F140" s="44" t="s">
        <v>469</v>
      </c>
      <c r="G140" s="47" t="s">
        <v>467</v>
      </c>
      <c r="H140" s="44" t="s">
        <v>467</v>
      </c>
      <c r="I140" s="63" t="s">
        <v>540</v>
      </c>
      <c r="J140" s="47" t="s">
        <v>452</v>
      </c>
      <c r="K140" s="54" t="s">
        <v>625</v>
      </c>
      <c r="L140" s="72">
        <v>0.20315</v>
      </c>
      <c r="M140" s="41"/>
      <c r="U140" s="39"/>
      <c r="V140" s="39"/>
      <c r="AA140" s="21"/>
      <c r="AB140" s="21"/>
    </row>
    <row r="141" spans="2:28" ht="38" hidden="1" customHeight="1" x14ac:dyDescent="0.2">
      <c r="B141" s="404"/>
      <c r="C141" s="101">
        <v>70</v>
      </c>
      <c r="D141" s="46" t="s">
        <v>587</v>
      </c>
      <c r="E141" s="44" t="s">
        <v>453</v>
      </c>
      <c r="F141" s="44" t="s">
        <v>472</v>
      </c>
      <c r="G141" s="47" t="s">
        <v>467</v>
      </c>
      <c r="H141" s="44" t="s">
        <v>467</v>
      </c>
      <c r="I141" s="63" t="s">
        <v>540</v>
      </c>
      <c r="J141" s="47" t="s">
        <v>452</v>
      </c>
      <c r="K141" s="48" t="s">
        <v>588</v>
      </c>
      <c r="L141" s="60" t="s">
        <v>584</v>
      </c>
      <c r="M141" s="41"/>
      <c r="U141" s="39"/>
      <c r="V141" s="39"/>
      <c r="AA141" s="21"/>
      <c r="AB141" s="21"/>
    </row>
    <row r="142" spans="2:28" ht="38" hidden="1" customHeight="1" x14ac:dyDescent="0.2">
      <c r="B142" s="404"/>
      <c r="C142" s="101">
        <v>71</v>
      </c>
      <c r="D142" s="46" t="s">
        <v>577</v>
      </c>
      <c r="E142" s="44" t="s">
        <v>453</v>
      </c>
      <c r="F142" s="44" t="s">
        <v>473</v>
      </c>
      <c r="G142" s="47" t="s">
        <v>467</v>
      </c>
      <c r="H142" s="44" t="s">
        <v>467</v>
      </c>
      <c r="I142" s="63" t="s">
        <v>540</v>
      </c>
      <c r="J142" s="47" t="s">
        <v>452</v>
      </c>
      <c r="K142" s="48" t="s">
        <v>624</v>
      </c>
      <c r="L142" s="60" t="s">
        <v>584</v>
      </c>
      <c r="M142" s="41"/>
      <c r="U142" s="39"/>
      <c r="V142" s="39"/>
      <c r="AA142" s="21"/>
      <c r="AB142" s="21"/>
    </row>
    <row r="143" spans="2:28" ht="38" hidden="1" customHeight="1" x14ac:dyDescent="0.2">
      <c r="B143" s="404"/>
      <c r="C143" s="101">
        <v>72</v>
      </c>
      <c r="D143" s="46" t="s">
        <v>565</v>
      </c>
      <c r="E143" s="44" t="s">
        <v>453</v>
      </c>
      <c r="F143" s="44" t="s">
        <v>474</v>
      </c>
      <c r="G143" s="47" t="s">
        <v>467</v>
      </c>
      <c r="H143" s="44" t="s">
        <v>467</v>
      </c>
      <c r="I143" s="63" t="s">
        <v>540</v>
      </c>
      <c r="J143" s="47" t="s">
        <v>452</v>
      </c>
      <c r="K143" s="48" t="s">
        <v>578</v>
      </c>
      <c r="L143" s="72">
        <v>0.20315</v>
      </c>
      <c r="M143" s="41"/>
      <c r="U143" s="39"/>
      <c r="V143" s="39"/>
      <c r="AA143" s="21"/>
      <c r="AB143" s="21"/>
    </row>
    <row r="144" spans="2:28" ht="38" hidden="1" customHeight="1" x14ac:dyDescent="0.2">
      <c r="B144" s="404"/>
      <c r="C144" s="101">
        <v>73</v>
      </c>
      <c r="D144" s="46" t="s">
        <v>456</v>
      </c>
      <c r="E144" s="44" t="s">
        <v>453</v>
      </c>
      <c r="F144" s="55" t="s">
        <v>579</v>
      </c>
      <c r="G144" s="47" t="s">
        <v>467</v>
      </c>
      <c r="H144" s="44" t="s">
        <v>467</v>
      </c>
      <c r="I144" s="63" t="s">
        <v>568</v>
      </c>
      <c r="J144" s="47" t="s">
        <v>452</v>
      </c>
      <c r="K144" s="54" t="s">
        <v>575</v>
      </c>
      <c r="L144" s="72">
        <v>0.20315</v>
      </c>
      <c r="M144" s="41"/>
      <c r="W144" s="21"/>
      <c r="X144" s="21"/>
      <c r="Y144" s="21"/>
      <c r="Z144" s="21"/>
      <c r="AA144" s="21"/>
      <c r="AB144" s="21"/>
    </row>
    <row r="145" spans="2:28" ht="38" hidden="1" customHeight="1" x14ac:dyDescent="0.2">
      <c r="B145" s="404"/>
      <c r="C145" s="101">
        <v>74</v>
      </c>
      <c r="D145" s="46" t="s">
        <v>567</v>
      </c>
      <c r="E145" s="44" t="s">
        <v>451</v>
      </c>
      <c r="F145" s="44" t="s">
        <v>580</v>
      </c>
      <c r="G145" s="47" t="s">
        <v>467</v>
      </c>
      <c r="H145" s="44" t="s">
        <v>467</v>
      </c>
      <c r="I145" s="47" t="s">
        <v>626</v>
      </c>
      <c r="J145" s="47" t="s">
        <v>452</v>
      </c>
      <c r="K145" s="54" t="s">
        <v>596</v>
      </c>
      <c r="L145" s="72">
        <v>0.20315</v>
      </c>
      <c r="M145" s="41"/>
      <c r="W145" s="21"/>
      <c r="X145" s="21"/>
      <c r="Y145" s="21"/>
      <c r="Z145" s="21"/>
      <c r="AA145" s="21"/>
      <c r="AB145" s="21"/>
    </row>
    <row r="146" spans="2:28" ht="38" hidden="1" customHeight="1" x14ac:dyDescent="0.2">
      <c r="B146" s="404"/>
      <c r="C146" s="101">
        <v>75</v>
      </c>
      <c r="D146" s="46" t="s">
        <v>458</v>
      </c>
      <c r="E146" s="44" t="s">
        <v>453</v>
      </c>
      <c r="F146" s="44" t="s">
        <v>475</v>
      </c>
      <c r="G146" s="47" t="s">
        <v>467</v>
      </c>
      <c r="H146" s="44" t="s">
        <v>467</v>
      </c>
      <c r="I146" s="63" t="s">
        <v>540</v>
      </c>
      <c r="J146" s="47" t="s">
        <v>452</v>
      </c>
      <c r="K146" s="48" t="s">
        <v>581</v>
      </c>
      <c r="L146" s="72">
        <v>0.20315</v>
      </c>
      <c r="M146" s="41"/>
      <c r="W146" s="21"/>
      <c r="X146" s="21"/>
      <c r="Y146" s="21"/>
      <c r="Z146" s="21"/>
      <c r="AA146" s="21"/>
      <c r="AB146" s="21"/>
    </row>
    <row r="147" spans="2:28" ht="38" hidden="1" customHeight="1" thickBot="1" x14ac:dyDescent="0.25">
      <c r="B147" s="65" t="s">
        <v>571</v>
      </c>
      <c r="C147" s="101">
        <v>76</v>
      </c>
      <c r="D147" s="64" t="s">
        <v>605</v>
      </c>
      <c r="E147" s="44" t="s">
        <v>453</v>
      </c>
      <c r="F147" s="56" t="s">
        <v>604</v>
      </c>
      <c r="G147" s="44" t="s">
        <v>467</v>
      </c>
      <c r="H147" s="44" t="s">
        <v>467</v>
      </c>
      <c r="I147" s="63" t="s">
        <v>540</v>
      </c>
      <c r="J147" s="47" t="s">
        <v>452</v>
      </c>
      <c r="K147" s="48" t="s">
        <v>617</v>
      </c>
      <c r="L147" s="72">
        <v>0.20315</v>
      </c>
      <c r="M147" s="41"/>
      <c r="W147" s="21"/>
      <c r="X147" s="21"/>
      <c r="Y147" s="21"/>
      <c r="Z147" s="21"/>
      <c r="AA147" s="21"/>
      <c r="AB147" s="21"/>
    </row>
    <row r="148" spans="2:28" ht="38" hidden="1" customHeight="1" x14ac:dyDescent="0.2">
      <c r="B148" s="406" t="s">
        <v>549</v>
      </c>
      <c r="C148" s="4">
        <v>77</v>
      </c>
      <c r="D148" s="46" t="s">
        <v>551</v>
      </c>
      <c r="E148" s="44" t="s">
        <v>452</v>
      </c>
      <c r="F148" s="44" t="s">
        <v>452</v>
      </c>
      <c r="G148" s="44" t="s">
        <v>468</v>
      </c>
      <c r="H148" s="44" t="s">
        <v>468</v>
      </c>
      <c r="I148" s="47" t="s">
        <v>541</v>
      </c>
      <c r="J148" s="47" t="s">
        <v>452</v>
      </c>
      <c r="K148" s="48" t="s">
        <v>590</v>
      </c>
      <c r="L148" s="36" t="s">
        <v>585</v>
      </c>
      <c r="M148" s="41"/>
      <c r="W148" s="21"/>
      <c r="X148" s="21"/>
      <c r="Y148" s="21"/>
      <c r="Z148" s="21"/>
      <c r="AA148" s="21"/>
      <c r="AB148" s="21"/>
    </row>
    <row r="149" spans="2:28" ht="38" hidden="1" customHeight="1" x14ac:dyDescent="0.2">
      <c r="B149" s="406"/>
      <c r="C149" s="44" t="s">
        <v>452</v>
      </c>
      <c r="D149" s="49" t="s">
        <v>548</v>
      </c>
      <c r="E149" s="47" t="s">
        <v>452</v>
      </c>
      <c r="F149" s="56" t="s">
        <v>542</v>
      </c>
      <c r="G149" s="44" t="s">
        <v>467</v>
      </c>
      <c r="H149" s="44" t="s">
        <v>536</v>
      </c>
      <c r="I149" s="62" t="s">
        <v>543</v>
      </c>
      <c r="J149" s="62" t="s">
        <v>554</v>
      </c>
      <c r="K149" s="50" t="s">
        <v>570</v>
      </c>
      <c r="L149" s="44" t="s">
        <v>452</v>
      </c>
      <c r="M149" s="41"/>
      <c r="W149" s="21"/>
      <c r="X149" s="21"/>
      <c r="Y149" s="21"/>
      <c r="Z149" s="21"/>
      <c r="AA149" s="21"/>
      <c r="AB149" s="21"/>
    </row>
    <row r="150" spans="2:28" ht="38" hidden="1" customHeight="1" x14ac:dyDescent="0.2">
      <c r="B150" s="407"/>
      <c r="C150" s="44" t="s">
        <v>452</v>
      </c>
      <c r="D150" s="49" t="s">
        <v>546</v>
      </c>
      <c r="E150" s="47" t="s">
        <v>452</v>
      </c>
      <c r="F150" s="44" t="s">
        <v>547</v>
      </c>
      <c r="G150" s="47" t="s">
        <v>467</v>
      </c>
      <c r="H150" s="44" t="s">
        <v>468</v>
      </c>
      <c r="I150" s="62" t="s">
        <v>544</v>
      </c>
      <c r="J150" s="62" t="s">
        <v>555</v>
      </c>
      <c r="K150" s="50" t="s">
        <v>623</v>
      </c>
      <c r="L150" s="44" t="s">
        <v>452</v>
      </c>
      <c r="M150" s="41"/>
      <c r="W150" s="21"/>
      <c r="X150" s="21"/>
      <c r="Y150" s="21"/>
      <c r="Z150" s="21"/>
      <c r="AA150" s="21"/>
      <c r="AB150" s="21"/>
    </row>
    <row r="151" spans="2:28" ht="18.5" hidden="1" customHeight="1" x14ac:dyDescent="0.2">
      <c r="W151" s="21"/>
      <c r="X151" s="21"/>
      <c r="Y151" s="21"/>
      <c r="Z151" s="21"/>
      <c r="AA151" s="21"/>
      <c r="AB151" s="21"/>
    </row>
    <row r="152" spans="2:28" ht="27" hidden="1" customHeight="1" x14ac:dyDescent="0.2">
      <c r="K152" s="68"/>
      <c r="W152" s="21"/>
      <c r="X152" s="21"/>
      <c r="Y152" s="21"/>
      <c r="Z152" s="21"/>
      <c r="AA152" s="21"/>
      <c r="AB152" s="21"/>
    </row>
    <row r="153" spans="2:28" ht="27" hidden="1" customHeight="1" x14ac:dyDescent="0.2">
      <c r="W153" s="21"/>
      <c r="X153" s="21"/>
      <c r="Y153" s="21"/>
      <c r="Z153" s="21"/>
      <c r="AA153" s="21"/>
      <c r="AB153" s="21"/>
    </row>
    <row r="154" spans="2:28" ht="44.5" hidden="1" customHeight="1" x14ac:dyDescent="0.2">
      <c r="W154" s="21"/>
      <c r="X154" s="21"/>
      <c r="Y154" s="21"/>
      <c r="Z154" s="21"/>
      <c r="AA154" s="21"/>
      <c r="AB154" s="21"/>
    </row>
    <row r="155" spans="2:28" ht="27" hidden="1" customHeight="1" x14ac:dyDescent="0.2">
      <c r="W155" s="21"/>
      <c r="X155" s="21"/>
      <c r="Y155" s="21"/>
      <c r="Z155" s="21"/>
      <c r="AA155" s="21"/>
      <c r="AB155" s="21"/>
    </row>
    <row r="156" spans="2:28" ht="27" customHeight="1" x14ac:dyDescent="0.2">
      <c r="W156" s="21"/>
      <c r="X156" s="21"/>
      <c r="Y156" s="21"/>
      <c r="Z156" s="21"/>
      <c r="AA156" s="21"/>
      <c r="AB156" s="21"/>
    </row>
    <row r="157" spans="2:28" ht="27" customHeight="1" x14ac:dyDescent="0.2">
      <c r="W157" s="21"/>
      <c r="X157" s="21"/>
      <c r="Y157" s="21"/>
      <c r="Z157" s="21"/>
      <c r="AA157" s="21"/>
      <c r="AB157" s="21"/>
    </row>
    <row r="158" spans="2:28" ht="27" customHeight="1" x14ac:dyDescent="0.2">
      <c r="W158" s="21"/>
      <c r="X158" s="21"/>
      <c r="Y158" s="21"/>
      <c r="Z158" s="21"/>
      <c r="AA158" s="21"/>
      <c r="AB158" s="21"/>
    </row>
    <row r="159" spans="2:28" ht="27" customHeight="1" x14ac:dyDescent="0.2">
      <c r="W159" s="21"/>
      <c r="X159" s="21"/>
      <c r="Y159" s="21"/>
      <c r="Z159" s="21"/>
      <c r="AA159" s="21"/>
      <c r="AB159" s="21"/>
    </row>
    <row r="160" spans="2:28" ht="27" customHeight="1" x14ac:dyDescent="0.2">
      <c r="W160" s="21"/>
      <c r="X160" s="21"/>
      <c r="Y160" s="21"/>
      <c r="Z160" s="21"/>
      <c r="AA160" s="21"/>
      <c r="AB160" s="21"/>
    </row>
    <row r="161" spans="23:28" ht="27" customHeight="1" x14ac:dyDescent="0.2">
      <c r="W161" s="21"/>
      <c r="X161" s="21"/>
      <c r="Y161" s="21"/>
      <c r="Z161" s="21"/>
      <c r="AA161" s="21"/>
      <c r="AB161" s="21"/>
    </row>
  </sheetData>
  <sheetProtection algorithmName="SHA-512" hashValue="j3aBOkmlmdon5uPi7bKvfYsGV0U/9Y9VC/8ixTSTfPLIsxHPtTWb3K9tfZuzHwt4AxLwKeuc84SGDL3/0EXLHA==" saltValue="wnImaCjqqHkGOjrT+/60zQ==" spinCount="100000" sheet="1" objects="1" scenarios="1" insertHyperlinks="0"/>
  <mergeCells count="4">
    <mergeCell ref="G126:J126"/>
    <mergeCell ref="B128:B137"/>
    <mergeCell ref="B138:B146"/>
    <mergeCell ref="B148:B150"/>
  </mergeCells>
  <phoneticPr fontId="2"/>
  <pageMargins left="0.22" right="0.17" top="0.48" bottom="0.75" header="0.3" footer="0.3"/>
  <pageSetup paperSize="9" scale="45" fitToHeight="0" orientation="landscape"/>
  <rowBreaks count="2" manualBreakCount="2">
    <brk id="34" max="11" man="1"/>
    <brk id="125" max="11" man="1"/>
  </rowBreaks>
  <colBreaks count="1" manualBreakCount="1">
    <brk id="8" max="143"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399AB-52CA-4F22-9892-E74FAED35AC9}">
  <sheetPr codeName="Sheet7">
    <tabColor indexed="10"/>
    <pageSetUpPr fitToPage="1"/>
  </sheetPr>
  <dimension ref="A1:AH671"/>
  <sheetViews>
    <sheetView showGridLines="0" showRowColHeaders="0" tabSelected="1" zoomScale="115" zoomScaleNormal="115" workbookViewId="0"/>
  </sheetViews>
  <sheetFormatPr defaultColWidth="8.81640625" defaultRowHeight="12.75" customHeight="1" x14ac:dyDescent="0.2"/>
  <cols>
    <col min="1" max="1" width="9.1796875" style="27" customWidth="1"/>
    <col min="2" max="2" width="6.1796875" style="32" customWidth="1"/>
    <col min="3" max="3" width="26.90625" style="27" customWidth="1"/>
    <col min="4" max="4" width="21.08984375" style="27" customWidth="1"/>
    <col min="5" max="9" width="11.90625" style="118" customWidth="1"/>
    <col min="10" max="10" width="11.90625" style="119" customWidth="1"/>
    <col min="11" max="11" width="8.1796875" style="123" customWidth="1"/>
    <col min="12" max="12" width="3.81640625" style="123" customWidth="1"/>
    <col min="13" max="14" width="3.81640625" style="196" customWidth="1"/>
    <col min="15" max="16" width="3.81640625" style="27" customWidth="1"/>
    <col min="17" max="18" width="3.81640625" style="196" customWidth="1"/>
    <col min="19" max="19" width="10.08984375" style="124" customWidth="1"/>
    <col min="20" max="20" width="12.453125" style="27" hidden="1" customWidth="1"/>
    <col min="21" max="21" width="10" style="27" hidden="1" customWidth="1"/>
    <col min="22" max="22" width="19.36328125" style="27" hidden="1" customWidth="1"/>
    <col min="23" max="23" width="24.81640625" style="27" hidden="1" customWidth="1"/>
    <col min="24" max="24" width="11.36328125" style="27" hidden="1" customWidth="1"/>
    <col min="25" max="26" width="9" style="27" hidden="1" customWidth="1"/>
    <col min="27" max="28" width="20.453125" style="27" hidden="1" customWidth="1"/>
    <col min="29" max="29" width="19" style="27" hidden="1" customWidth="1"/>
    <col min="30" max="30" width="20.36328125" style="123" hidden="1" customWidth="1"/>
    <col min="31" max="31" width="10.6328125" style="124" customWidth="1"/>
    <col min="32" max="35" width="8.81640625" style="124" customWidth="1"/>
    <col min="36" max="16384" width="8.81640625" style="124"/>
  </cols>
  <sheetData>
    <row r="1" spans="1:30" ht="29.4" customHeight="1" x14ac:dyDescent="0.2">
      <c r="A1" s="116"/>
      <c r="C1" s="460" t="s">
        <v>407</v>
      </c>
      <c r="D1" s="460"/>
      <c r="E1" s="117" t="s">
        <v>627</v>
      </c>
      <c r="F1" s="117"/>
      <c r="G1" s="117"/>
      <c r="H1" s="117"/>
      <c r="K1" s="120"/>
      <c r="L1" s="120"/>
      <c r="M1" s="121"/>
      <c r="N1" s="121"/>
      <c r="O1" s="120"/>
      <c r="P1" s="120"/>
      <c r="Q1" s="121"/>
      <c r="R1" s="121"/>
      <c r="S1" s="122"/>
    </row>
    <row r="2" spans="1:30" ht="19.5" customHeight="1" x14ac:dyDescent="0.2">
      <c r="C2" s="125" t="str">
        <f>IF(C3="","※ 年度を選択してください","")</f>
        <v/>
      </c>
      <c r="D2" s="116"/>
      <c r="E2" s="117"/>
      <c r="F2" s="117"/>
      <c r="G2" s="117"/>
      <c r="H2" s="117"/>
      <c r="K2" s="120"/>
      <c r="L2" s="120"/>
      <c r="M2" s="121"/>
      <c r="N2" s="121"/>
      <c r="O2" s="120"/>
      <c r="P2" s="120"/>
      <c r="Q2" s="121"/>
      <c r="R2" s="121"/>
      <c r="S2" s="122"/>
    </row>
    <row r="3" spans="1:30" ht="18" customHeight="1" x14ac:dyDescent="0.2">
      <c r="B3" s="28" t="s">
        <v>94</v>
      </c>
      <c r="C3" s="373">
        <v>7</v>
      </c>
      <c r="D3" s="35" t="s">
        <v>436</v>
      </c>
      <c r="K3" s="120"/>
      <c r="L3" s="120"/>
      <c r="M3" s="121"/>
      <c r="N3" s="121"/>
      <c r="O3" s="120"/>
      <c r="P3" s="120"/>
      <c r="Q3" s="121"/>
      <c r="R3" s="121"/>
      <c r="S3" s="122"/>
    </row>
    <row r="4" spans="1:30" ht="12.75" customHeight="1" x14ac:dyDescent="0.2">
      <c r="B4" s="28" t="s">
        <v>65</v>
      </c>
      <c r="C4" s="29">
        <f ca="1">TODAY()</f>
        <v>46100</v>
      </c>
      <c r="D4" s="100"/>
      <c r="E4" s="126"/>
      <c r="F4" s="126"/>
      <c r="G4" s="126"/>
      <c r="H4" s="126"/>
      <c r="I4" s="127"/>
      <c r="J4" s="126"/>
      <c r="K4" s="120"/>
      <c r="L4" s="120"/>
      <c r="M4" s="121"/>
      <c r="N4" s="121"/>
      <c r="O4" s="120"/>
      <c r="P4" s="120"/>
      <c r="Q4" s="121"/>
      <c r="R4" s="121"/>
      <c r="S4" s="122"/>
    </row>
    <row r="5" spans="1:30" ht="12.75" customHeight="1" x14ac:dyDescent="0.2">
      <c r="B5" s="28" t="s">
        <v>521</v>
      </c>
      <c r="C5" s="30">
        <f>DATE((C3+2018),4,1)</f>
        <v>45748</v>
      </c>
      <c r="D5" s="100" t="s">
        <v>675</v>
      </c>
      <c r="E5" s="128"/>
      <c r="F5" s="128"/>
      <c r="G5" s="128"/>
      <c r="H5" s="128"/>
      <c r="I5" s="128"/>
      <c r="J5" s="32"/>
      <c r="K5" s="120"/>
      <c r="L5" s="120"/>
      <c r="M5" s="121"/>
      <c r="N5" s="121"/>
      <c r="O5" s="120"/>
      <c r="P5" s="120"/>
      <c r="Q5" s="121"/>
      <c r="R5" s="121"/>
      <c r="S5" s="129"/>
    </row>
    <row r="6" spans="1:30" ht="12.75" customHeight="1" x14ac:dyDescent="0.2">
      <c r="B6" s="28" t="s">
        <v>522</v>
      </c>
      <c r="C6" s="30">
        <f>DATE((C3+2019),3,31)</f>
        <v>46112</v>
      </c>
      <c r="D6" s="31"/>
      <c r="E6" s="31" t="s">
        <v>704</v>
      </c>
      <c r="F6" s="31"/>
      <c r="G6" s="31"/>
      <c r="H6" s="31"/>
      <c r="I6" s="31"/>
      <c r="J6" s="126"/>
      <c r="K6" s="120"/>
      <c r="L6" s="120"/>
      <c r="M6" s="121"/>
      <c r="N6" s="121"/>
      <c r="O6" s="120"/>
      <c r="P6" s="120"/>
      <c r="Q6" s="121"/>
      <c r="R6" s="121"/>
      <c r="S6" s="129"/>
    </row>
    <row r="7" spans="1:30" ht="12.75" customHeight="1" x14ac:dyDescent="0.2">
      <c r="C7" s="33"/>
      <c r="D7" s="31"/>
      <c r="E7" s="31" t="s">
        <v>705</v>
      </c>
      <c r="F7" s="31"/>
      <c r="G7" s="31"/>
      <c r="H7" s="31"/>
      <c r="I7" s="31"/>
      <c r="J7" s="126"/>
      <c r="K7" s="120"/>
      <c r="L7" s="130"/>
      <c r="M7" s="121"/>
      <c r="N7" s="121"/>
      <c r="O7" s="120"/>
      <c r="P7" s="120"/>
      <c r="Q7" s="121"/>
      <c r="R7" s="121"/>
      <c r="S7" s="129"/>
    </row>
    <row r="8" spans="1:30" ht="14" customHeight="1" x14ac:dyDescent="0.2">
      <c r="C8" s="33"/>
      <c r="D8" s="32"/>
      <c r="E8" s="126"/>
      <c r="F8" s="126"/>
      <c r="G8" s="126"/>
      <c r="H8" s="126"/>
      <c r="I8" s="126"/>
      <c r="J8" s="126"/>
      <c r="K8" s="120"/>
      <c r="L8" s="120"/>
      <c r="M8" s="121"/>
      <c r="N8" s="121"/>
      <c r="O8" s="120"/>
      <c r="P8" s="120"/>
      <c r="Q8" s="121"/>
      <c r="R8" s="121"/>
      <c r="S8" s="131"/>
      <c r="T8" s="132"/>
      <c r="U8" s="132"/>
      <c r="X8" s="132"/>
    </row>
    <row r="9" spans="1:30" ht="14" hidden="1" customHeight="1" x14ac:dyDescent="0.2">
      <c r="C9" s="133"/>
      <c r="D9" s="32" t="s">
        <v>255</v>
      </c>
      <c r="E9" s="134"/>
      <c r="F9" s="123"/>
      <c r="G9" s="126"/>
      <c r="H9" s="126"/>
      <c r="I9" s="126"/>
      <c r="J9" s="126"/>
      <c r="K9" s="120"/>
      <c r="L9" s="120"/>
      <c r="M9" s="121"/>
      <c r="N9" s="121"/>
      <c r="O9" s="120"/>
      <c r="P9" s="120"/>
      <c r="Q9" s="121"/>
      <c r="R9" s="121"/>
      <c r="S9" s="129"/>
      <c r="T9" s="132"/>
      <c r="U9" s="132"/>
      <c r="X9" s="132"/>
    </row>
    <row r="10" spans="1:30" ht="14" hidden="1" customHeight="1" x14ac:dyDescent="0.2">
      <c r="C10" s="33"/>
      <c r="D10" s="32" t="s">
        <v>253</v>
      </c>
      <c r="E10" s="135"/>
      <c r="F10" s="135"/>
      <c r="G10" s="135"/>
      <c r="H10" s="135"/>
      <c r="I10" s="135"/>
      <c r="J10" s="135"/>
      <c r="K10" s="120"/>
      <c r="L10" s="120"/>
      <c r="M10" s="121"/>
      <c r="N10" s="121"/>
      <c r="O10" s="120"/>
      <c r="P10" s="120"/>
      <c r="Q10" s="121"/>
      <c r="R10" s="121"/>
      <c r="S10" s="129"/>
      <c r="T10" s="132"/>
      <c r="U10" s="132"/>
      <c r="X10" s="132"/>
    </row>
    <row r="11" spans="1:30" ht="28.5" customHeight="1" x14ac:dyDescent="0.2">
      <c r="C11" s="33"/>
      <c r="D11" s="32" t="s">
        <v>251</v>
      </c>
      <c r="E11" s="40"/>
      <c r="F11" s="40"/>
      <c r="G11" s="40"/>
      <c r="H11" s="40"/>
      <c r="I11" s="40"/>
      <c r="J11" s="40"/>
      <c r="K11" s="120"/>
      <c r="L11" s="120"/>
      <c r="M11" s="136"/>
      <c r="N11" s="121"/>
      <c r="O11" s="120"/>
      <c r="P11" s="120"/>
      <c r="Q11" s="121"/>
      <c r="R11" s="121"/>
      <c r="S11" s="137"/>
      <c r="T11" s="138" t="s">
        <v>42</v>
      </c>
      <c r="U11" s="139" t="s">
        <v>478</v>
      </c>
      <c r="V11" s="139" t="s">
        <v>479</v>
      </c>
      <c r="W11" s="139" t="s">
        <v>252</v>
      </c>
      <c r="X11" s="139" t="s">
        <v>94</v>
      </c>
      <c r="AC11" s="123"/>
      <c r="AD11" s="124"/>
    </row>
    <row r="12" spans="1:30" ht="15" hidden="1" customHeight="1" x14ac:dyDescent="0.2">
      <c r="B12" s="463"/>
      <c r="C12" s="463"/>
      <c r="D12" s="32" t="s">
        <v>249</v>
      </c>
      <c r="E12" s="140"/>
      <c r="F12" s="140"/>
      <c r="G12" s="140"/>
      <c r="H12" s="140"/>
      <c r="I12" s="140"/>
      <c r="J12" s="140"/>
      <c r="K12" s="120"/>
      <c r="L12" s="120"/>
      <c r="M12" s="136"/>
      <c r="N12" s="121"/>
      <c r="O12" s="120"/>
      <c r="P12" s="120"/>
      <c r="Q12" s="121"/>
      <c r="R12" s="121"/>
      <c r="S12" s="129"/>
      <c r="T12" s="139"/>
      <c r="U12" s="139"/>
      <c r="V12" s="139"/>
      <c r="W12" s="139"/>
      <c r="X12" s="139"/>
      <c r="AC12" s="123"/>
      <c r="AD12" s="124"/>
    </row>
    <row r="13" spans="1:30" ht="46" customHeight="1" x14ac:dyDescent="0.2">
      <c r="B13" s="141" t="s">
        <v>441</v>
      </c>
      <c r="C13" s="142"/>
      <c r="D13" s="143"/>
      <c r="E13" s="144" t="str">
        <f>IF(E15="","",IFERROR(IF(E19&lt;&gt;"",IF(AND(E15&lt;&gt;"",E16&lt;&gt;""),IF(OR(ISNUMBER(FIND("ー",E24)),ISNUMBER(FIND("－",E24)),ISNUMBER(FIND("―",E24)),ISNUMBER(FIND("‐",E24))),"マイナスは半角入力です！", IF(LEN(E19)&lt;&gt;7,"誕生日７桁入力！", IF(OR(E17&gt;12,E15&lt;$C$5,E15&gt;$C$6,E16&lt;$C$5,E16&gt;$C$6,E16&lt;E15),"年度と日付を確認!",IF(AND(E20&gt;74, OR(E18="被保険者",E18="普通世帯主",E18="普通世帯主【擬主→国保】")), "後期高齢者 資格誤りです",IF($E$96=0,"世帯主の入力も必要です","")))))),""),""))</f>
        <v/>
      </c>
      <c r="F13" s="144" t="str">
        <f t="shared" ref="F13:J13" si="0">IF(F15="","",IFERROR(IF(F19&lt;&gt;"",IF(AND(F15&lt;&gt;"",F16&lt;&gt;""),IF(OR(ISNUMBER(FIND("ー",F24)),ISNUMBER(FIND("－",F24)),ISNUMBER(FIND("―",F24)),ISNUMBER(FIND("‐",F24))),"マイナスは半角入力です！", IF(LEN(F19)&lt;&gt;7,"誕生日７桁入力！", IF(OR(F17&gt;12,F15&lt;$C$5,F15&gt;$C$6,F16&lt;$C$5,F16&gt;$C$6,F16&lt;F15),"年度と日付を確認!",IF(AND(F20&gt;74, OR(F18="被保険者",F18="普通世帯主",F18="普通世帯主【擬主→国保】")), "後期高齢者 資格誤りです",IF($E$96=0,"世帯主の入力も必要です","")))))),""),""))</f>
        <v/>
      </c>
      <c r="G13" s="144" t="str">
        <f t="shared" si="0"/>
        <v/>
      </c>
      <c r="H13" s="144" t="str">
        <f t="shared" si="0"/>
        <v/>
      </c>
      <c r="I13" s="144" t="str">
        <f t="shared" si="0"/>
        <v/>
      </c>
      <c r="J13" s="144" t="str">
        <f t="shared" si="0"/>
        <v/>
      </c>
      <c r="K13" s="120"/>
      <c r="L13" s="120"/>
      <c r="M13" s="136"/>
      <c r="N13" s="121"/>
      <c r="O13" s="120"/>
      <c r="P13" s="120"/>
      <c r="Q13" s="121"/>
      <c r="R13" s="121"/>
      <c r="S13" s="145"/>
      <c r="T13" s="139" t="s">
        <v>165</v>
      </c>
      <c r="U13" s="146" t="s">
        <v>56</v>
      </c>
      <c r="V13" s="139" t="s">
        <v>180</v>
      </c>
      <c r="W13" s="139" t="s">
        <v>253</v>
      </c>
      <c r="X13" s="139">
        <v>8</v>
      </c>
      <c r="AC13" s="123"/>
      <c r="AD13" s="124"/>
    </row>
    <row r="14" spans="1:30" ht="17.25" customHeight="1" x14ac:dyDescent="0.2">
      <c r="B14" s="147" t="s">
        <v>58</v>
      </c>
      <c r="C14" s="32" t="s">
        <v>416</v>
      </c>
      <c r="D14" s="32" t="s">
        <v>417</v>
      </c>
      <c r="E14" s="148" t="s">
        <v>275</v>
      </c>
      <c r="F14" s="148" t="s">
        <v>276</v>
      </c>
      <c r="G14" s="148" t="s">
        <v>277</v>
      </c>
      <c r="H14" s="148" t="s">
        <v>278</v>
      </c>
      <c r="I14" s="148" t="s">
        <v>279</v>
      </c>
      <c r="J14" s="148" t="s">
        <v>280</v>
      </c>
      <c r="K14" s="120"/>
      <c r="L14" s="120"/>
      <c r="M14" s="136"/>
      <c r="N14" s="121"/>
      <c r="O14" s="120"/>
      <c r="P14" s="120"/>
      <c r="Q14" s="121"/>
      <c r="R14" s="121"/>
      <c r="S14" s="145"/>
      <c r="T14" s="139" t="s">
        <v>227</v>
      </c>
      <c r="U14" s="139"/>
      <c r="V14" s="139" t="s">
        <v>179</v>
      </c>
      <c r="W14" s="139"/>
      <c r="X14" s="139">
        <v>7</v>
      </c>
      <c r="AC14" s="123"/>
      <c r="AD14" s="124"/>
    </row>
    <row r="15" spans="1:30" ht="17.25" customHeight="1" x14ac:dyDescent="0.2">
      <c r="B15" s="28" t="s">
        <v>57</v>
      </c>
      <c r="C15" s="149" t="s">
        <v>303</v>
      </c>
      <c r="D15" s="27" t="s">
        <v>523</v>
      </c>
      <c r="E15" s="24"/>
      <c r="F15" s="24"/>
      <c r="G15" s="24"/>
      <c r="H15" s="24"/>
      <c r="I15" s="24"/>
      <c r="J15" s="24"/>
      <c r="K15" s="120"/>
      <c r="L15" s="120"/>
      <c r="M15" s="136"/>
      <c r="N15" s="121"/>
      <c r="O15" s="120"/>
      <c r="P15" s="120"/>
      <c r="Q15" s="121"/>
      <c r="R15" s="121"/>
      <c r="S15" s="122"/>
      <c r="T15" s="139" t="s">
        <v>681</v>
      </c>
      <c r="U15" s="139"/>
      <c r="V15" s="139"/>
      <c r="W15" s="139"/>
      <c r="X15" s="139"/>
      <c r="AC15" s="123"/>
      <c r="AD15" s="124"/>
    </row>
    <row r="16" spans="1:30" ht="17.5" customHeight="1" x14ac:dyDescent="0.2">
      <c r="B16" s="28" t="s">
        <v>57</v>
      </c>
      <c r="C16" s="149" t="s">
        <v>524</v>
      </c>
      <c r="D16" s="27" t="s">
        <v>530</v>
      </c>
      <c r="E16" s="372" t="str">
        <f t="shared" ref="E16:J16" si="1">IF(E15&gt;0, $C$6, "")</f>
        <v/>
      </c>
      <c r="F16" s="372" t="str">
        <f>IF(F15&gt;0, $C$6, "")</f>
        <v/>
      </c>
      <c r="G16" s="372" t="str">
        <f t="shared" si="1"/>
        <v/>
      </c>
      <c r="H16" s="372" t="str">
        <f>IF(H15&gt;0, $C$6, "")</f>
        <v/>
      </c>
      <c r="I16" s="372" t="str">
        <f t="shared" si="1"/>
        <v/>
      </c>
      <c r="J16" s="372" t="str">
        <f t="shared" si="1"/>
        <v/>
      </c>
      <c r="K16" s="120"/>
      <c r="L16" s="120"/>
      <c r="M16" s="136"/>
      <c r="N16" s="121"/>
      <c r="O16" s="120"/>
      <c r="P16" s="120"/>
      <c r="Q16" s="121"/>
      <c r="R16" s="121"/>
      <c r="S16" s="129"/>
      <c r="T16" s="139" t="s">
        <v>682</v>
      </c>
      <c r="U16" s="139"/>
      <c r="V16" s="139"/>
      <c r="W16" s="139"/>
      <c r="X16" s="139"/>
      <c r="AC16" s="123"/>
      <c r="AD16" s="124"/>
    </row>
    <row r="17" spans="2:31" ht="17.25" customHeight="1" x14ac:dyDescent="0.2">
      <c r="B17" s="28"/>
      <c r="C17" s="149" t="s">
        <v>44</v>
      </c>
      <c r="E17" s="150" t="str">
        <f>IFERROR((YEAR(E16)-YEAR(E15))*12+(MONTH(E16)-MONTH(E15))+IF(DAY(E16)=DAY(EOMONTH(E16,0)),1,0),"")</f>
        <v/>
      </c>
      <c r="F17" s="150" t="str">
        <f t="shared" ref="F17:J17" si="2">IFERROR((YEAR(F16)-YEAR(F15))*12+(MONTH(F16)-MONTH(F15))+IF(DAY(F16)=DAY(EOMONTH(F16,0)),1,0),"")</f>
        <v/>
      </c>
      <c r="G17" s="150" t="str">
        <f t="shared" si="2"/>
        <v/>
      </c>
      <c r="H17" s="150" t="str">
        <f t="shared" si="2"/>
        <v/>
      </c>
      <c r="I17" s="150" t="str">
        <f t="shared" si="2"/>
        <v/>
      </c>
      <c r="J17" s="150" t="str">
        <f t="shared" si="2"/>
        <v/>
      </c>
      <c r="K17" s="120"/>
      <c r="L17" s="120"/>
      <c r="M17" s="121"/>
      <c r="N17" s="121"/>
      <c r="O17" s="120"/>
      <c r="P17" s="120"/>
      <c r="Q17" s="121"/>
      <c r="R17" s="121"/>
      <c r="S17" s="131"/>
      <c r="T17" s="139" t="s">
        <v>228</v>
      </c>
      <c r="U17" s="139"/>
      <c r="V17" s="139"/>
      <c r="W17" s="139"/>
      <c r="X17" s="139"/>
      <c r="AC17" s="123"/>
      <c r="AD17" s="124"/>
    </row>
    <row r="18" spans="2:31" ht="30.65" customHeight="1" x14ac:dyDescent="0.2">
      <c r="B18" s="28" t="s">
        <v>57</v>
      </c>
      <c r="C18" s="151" t="str">
        <f>HYPERLINK("#注意事項!A21", "資格情報")</f>
        <v>資格情報</v>
      </c>
      <c r="D18" s="152" t="s">
        <v>302</v>
      </c>
      <c r="E18" s="34"/>
      <c r="F18" s="34"/>
      <c r="G18" s="34"/>
      <c r="H18" s="34"/>
      <c r="I18" s="34"/>
      <c r="J18" s="34"/>
      <c r="K18" s="120"/>
      <c r="L18" s="120"/>
      <c r="M18" s="121"/>
      <c r="N18" s="153"/>
      <c r="O18" s="120"/>
      <c r="P18" s="120"/>
      <c r="Q18" s="121"/>
      <c r="R18" s="121"/>
      <c r="S18" s="129"/>
      <c r="T18" s="139" t="s">
        <v>196</v>
      </c>
      <c r="U18" s="139"/>
      <c r="V18" s="139"/>
      <c r="W18" s="139"/>
      <c r="X18" s="139"/>
      <c r="AC18" s="123"/>
      <c r="AD18" s="124"/>
    </row>
    <row r="19" spans="2:31" ht="17.25" customHeight="1" x14ac:dyDescent="0.2">
      <c r="B19" s="28" t="s">
        <v>57</v>
      </c>
      <c r="C19" s="151" t="str">
        <f>HYPERLINK("#注意事項!A34", "誕生日 （7桁数字）")</f>
        <v>誕生日 （7桁数字）</v>
      </c>
      <c r="D19" s="116" t="s">
        <v>368</v>
      </c>
      <c r="E19" s="25"/>
      <c r="F19" s="25"/>
      <c r="G19" s="25"/>
      <c r="H19" s="25"/>
      <c r="I19" s="25"/>
      <c r="J19" s="25"/>
      <c r="K19" s="120"/>
      <c r="L19" s="120"/>
      <c r="M19" s="121"/>
      <c r="N19" s="121"/>
      <c r="O19" s="120"/>
      <c r="P19" s="120"/>
      <c r="Q19" s="121"/>
      <c r="R19" s="121"/>
      <c r="S19" s="131"/>
      <c r="T19" s="139"/>
      <c r="U19" s="139"/>
      <c r="V19" s="139"/>
      <c r="W19" s="139"/>
      <c r="X19" s="139"/>
      <c r="AC19" s="123"/>
      <c r="AD19" s="124"/>
    </row>
    <row r="20" spans="2:31" ht="17.25" customHeight="1" x14ac:dyDescent="0.2">
      <c r="C20" s="149" t="s">
        <v>304</v>
      </c>
      <c r="D20" s="154">
        <f>C5</f>
        <v>45748</v>
      </c>
      <c r="E20" s="155" t="str">
        <f t="shared" ref="E20:J20" si="3">E34</f>
        <v/>
      </c>
      <c r="F20" s="155" t="str">
        <f t="shared" si="3"/>
        <v/>
      </c>
      <c r="G20" s="155" t="str">
        <f t="shared" si="3"/>
        <v/>
      </c>
      <c r="H20" s="155" t="str">
        <f t="shared" si="3"/>
        <v/>
      </c>
      <c r="I20" s="155" t="str">
        <f t="shared" si="3"/>
        <v/>
      </c>
      <c r="J20" s="155" t="str">
        <f t="shared" si="3"/>
        <v/>
      </c>
      <c r="K20" s="120"/>
      <c r="L20" s="120"/>
      <c r="M20" s="120"/>
      <c r="N20" s="120"/>
      <c r="O20" s="120"/>
      <c r="P20" s="120"/>
      <c r="Q20" s="120"/>
      <c r="R20" s="156"/>
      <c r="S20" s="129"/>
      <c r="T20" s="139"/>
      <c r="U20" s="139"/>
      <c r="V20" s="139"/>
      <c r="W20" s="139"/>
      <c r="X20" s="139"/>
      <c r="AC20" s="123"/>
      <c r="AD20" s="124"/>
    </row>
    <row r="21" spans="2:31" ht="15.65" customHeight="1" x14ac:dyDescent="0.2">
      <c r="B21" s="157" t="s">
        <v>87</v>
      </c>
      <c r="C21" s="158" t="s">
        <v>186</v>
      </c>
      <c r="D21" s="159" t="s">
        <v>300</v>
      </c>
      <c r="E21" s="26"/>
      <c r="F21" s="26"/>
      <c r="G21" s="26"/>
      <c r="H21" s="26"/>
      <c r="I21" s="26"/>
      <c r="J21" s="26"/>
      <c r="K21" s="120"/>
      <c r="L21" s="120"/>
      <c r="M21" s="120"/>
      <c r="N21" s="120"/>
      <c r="O21" s="120"/>
      <c r="P21" s="120"/>
      <c r="Q21" s="120"/>
      <c r="R21" s="156"/>
      <c r="S21" s="131"/>
      <c r="T21" s="160"/>
      <c r="U21" s="118"/>
      <c r="V21" s="118"/>
      <c r="W21" s="160"/>
    </row>
    <row r="22" spans="2:31" ht="15.75" customHeight="1" x14ac:dyDescent="0.2">
      <c r="B22" s="157" t="s">
        <v>87</v>
      </c>
      <c r="C22" s="161" t="str">
        <f>HYPERLINK("#申告書!A5", "専従者給与収入")</f>
        <v>専従者給与収入</v>
      </c>
      <c r="D22" s="123" t="s">
        <v>229</v>
      </c>
      <c r="E22" s="26"/>
      <c r="F22" s="26"/>
      <c r="G22" s="26"/>
      <c r="H22" s="26"/>
      <c r="I22" s="26"/>
      <c r="J22" s="26"/>
      <c r="K22" s="120"/>
      <c r="L22" s="120"/>
      <c r="M22" s="120"/>
      <c r="N22" s="120"/>
      <c r="O22" s="120"/>
      <c r="P22" s="120"/>
      <c r="Q22" s="120"/>
      <c r="R22" s="156"/>
      <c r="S22" s="162"/>
      <c r="T22" s="132" t="s">
        <v>445</v>
      </c>
      <c r="U22" s="163" t="s">
        <v>267</v>
      </c>
      <c r="V22" s="118" t="s">
        <v>270</v>
      </c>
      <c r="X22" s="132"/>
      <c r="AB22" s="164"/>
    </row>
    <row r="23" spans="2:31" ht="15.75" customHeight="1" x14ac:dyDescent="0.2">
      <c r="B23" s="157" t="s">
        <v>87</v>
      </c>
      <c r="C23" s="158" t="s">
        <v>187</v>
      </c>
      <c r="D23" s="165" t="s">
        <v>411</v>
      </c>
      <c r="E23" s="26"/>
      <c r="F23" s="26"/>
      <c r="G23" s="26"/>
      <c r="H23" s="26"/>
      <c r="I23" s="26"/>
      <c r="J23" s="26"/>
      <c r="K23" s="166"/>
      <c r="L23" s="166"/>
      <c r="M23" s="166"/>
      <c r="N23" s="166"/>
      <c r="O23" s="166"/>
      <c r="P23" s="166"/>
      <c r="Q23" s="166"/>
      <c r="R23" s="167"/>
      <c r="S23" s="162"/>
      <c r="T23" s="139" t="s">
        <v>3</v>
      </c>
      <c r="U23" s="138" t="s">
        <v>281</v>
      </c>
      <c r="V23" s="138" t="s">
        <v>284</v>
      </c>
      <c r="W23" s="138" t="s">
        <v>287</v>
      </c>
      <c r="X23" s="138" t="s">
        <v>290</v>
      </c>
      <c r="Y23" s="138" t="s">
        <v>293</v>
      </c>
      <c r="Z23" s="138" t="s">
        <v>296</v>
      </c>
      <c r="AA23" s="139" t="s">
        <v>3</v>
      </c>
      <c r="AB23" s="138" t="s">
        <v>265</v>
      </c>
      <c r="AC23" s="168" t="s">
        <v>3</v>
      </c>
      <c r="AD23" s="169" t="s">
        <v>266</v>
      </c>
    </row>
    <row r="24" spans="2:31" ht="15.75" customHeight="1" x14ac:dyDescent="0.2">
      <c r="B24" s="157" t="s">
        <v>87</v>
      </c>
      <c r="C24" s="158" t="s">
        <v>454</v>
      </c>
      <c r="D24" s="170" t="s">
        <v>455</v>
      </c>
      <c r="E24" s="26"/>
      <c r="F24" s="26"/>
      <c r="G24" s="26"/>
      <c r="H24" s="26"/>
      <c r="I24" s="26"/>
      <c r="J24" s="26"/>
      <c r="K24" s="166"/>
      <c r="L24" s="166"/>
      <c r="M24" s="166"/>
      <c r="N24" s="166"/>
      <c r="O24" s="166"/>
      <c r="P24" s="166"/>
      <c r="Q24" s="166"/>
      <c r="R24" s="167"/>
      <c r="S24" s="162"/>
      <c r="T24" s="171">
        <v>0</v>
      </c>
      <c r="U24" s="169">
        <v>0</v>
      </c>
      <c r="V24" s="172">
        <v>0</v>
      </c>
      <c r="W24" s="172">
        <v>0</v>
      </c>
      <c r="X24" s="172">
        <v>0</v>
      </c>
      <c r="Y24" s="172">
        <v>0</v>
      </c>
      <c r="Z24" s="172">
        <v>0</v>
      </c>
      <c r="AA24" s="168"/>
      <c r="AB24" s="173"/>
      <c r="AC24" s="168"/>
      <c r="AD24" s="174"/>
      <c r="AE24" s="175"/>
    </row>
    <row r="25" spans="2:31" ht="15.65" customHeight="1" x14ac:dyDescent="0.2">
      <c r="B25" s="157" t="s">
        <v>87</v>
      </c>
      <c r="C25" s="123" t="s">
        <v>537</v>
      </c>
      <c r="D25" s="123" t="s">
        <v>328</v>
      </c>
      <c r="E25" s="26"/>
      <c r="F25" s="26"/>
      <c r="G25" s="26"/>
      <c r="H25" s="26"/>
      <c r="I25" s="26"/>
      <c r="J25" s="26"/>
      <c r="K25" s="166"/>
      <c r="L25" s="166"/>
      <c r="M25" s="166"/>
      <c r="N25" s="166"/>
      <c r="O25" s="166"/>
      <c r="P25" s="166"/>
      <c r="Q25" s="166"/>
      <c r="R25" s="167"/>
      <c r="S25" s="162"/>
      <c r="T25" s="171">
        <v>551000</v>
      </c>
      <c r="U25" s="176">
        <f>MAX(0,IF($C$3&lt;=7,E55-550000,E55-650000))</f>
        <v>0</v>
      </c>
      <c r="V25" s="176">
        <f t="shared" ref="V25:Z25" si="4">MAX(0,IF($C$3&lt;=7,F55-550000,F55-650000))</f>
        <v>0</v>
      </c>
      <c r="W25" s="176">
        <f t="shared" si="4"/>
        <v>0</v>
      </c>
      <c r="X25" s="176">
        <f t="shared" si="4"/>
        <v>0</v>
      </c>
      <c r="Y25" s="176">
        <f t="shared" si="4"/>
        <v>0</v>
      </c>
      <c r="Z25" s="176">
        <f t="shared" si="4"/>
        <v>0</v>
      </c>
      <c r="AA25" s="168"/>
      <c r="AB25" s="171"/>
      <c r="AC25" s="168"/>
      <c r="AD25" s="177"/>
      <c r="AE25" s="178"/>
    </row>
    <row r="26" spans="2:31" ht="15.65" hidden="1" customHeight="1" x14ac:dyDescent="0.2">
      <c r="B26" s="28"/>
      <c r="C26" s="33" t="str">
        <f>C74</f>
        <v>◆　総所得</v>
      </c>
      <c r="D26" s="33"/>
      <c r="E26" s="371"/>
      <c r="F26" s="371"/>
      <c r="G26" s="371"/>
      <c r="H26" s="371"/>
      <c r="I26" s="371"/>
      <c r="J26" s="371"/>
      <c r="K26" s="166"/>
      <c r="L26" s="166"/>
      <c r="M26" s="166"/>
      <c r="N26" s="166"/>
      <c r="O26" s="166"/>
      <c r="P26" s="166"/>
      <c r="Q26" s="166"/>
      <c r="R26" s="167"/>
      <c r="S26" s="162"/>
      <c r="T26" s="171">
        <v>1619000</v>
      </c>
      <c r="U26" s="176">
        <f>MAX(0,IF($C$3&lt;=7,1069000,E55-650000))</f>
        <v>1069000</v>
      </c>
      <c r="V26" s="176">
        <f t="shared" ref="V26:W26" si="5">MAX(0,IF($C$3&lt;=7,1069000,F55-650000))</f>
        <v>1069000</v>
      </c>
      <c r="W26" s="176">
        <f t="shared" si="5"/>
        <v>1069000</v>
      </c>
      <c r="X26" s="176">
        <f>MAX(0,IF($C$3&lt;=7,1069000,H55-650000))</f>
        <v>1069000</v>
      </c>
      <c r="Y26" s="176">
        <f t="shared" ref="Y26" si="6">MAX(0,IF($C$3&lt;=7,1069000,I55-650000))</f>
        <v>1069000</v>
      </c>
      <c r="Z26" s="176">
        <f t="shared" ref="Z26" si="7">MAX(0,IF($C$3&lt;=7,1069000,J55-650000))</f>
        <v>1069000</v>
      </c>
      <c r="AA26" s="168"/>
      <c r="AB26" s="171"/>
      <c r="AC26" s="168"/>
      <c r="AD26" s="169"/>
      <c r="AE26" s="178"/>
    </row>
    <row r="27" spans="2:31" ht="15.65" hidden="1" customHeight="1" x14ac:dyDescent="0.2">
      <c r="B27" s="28"/>
      <c r="C27" s="33" t="str">
        <f>C75</f>
        <v>◆　国保課税所得　</v>
      </c>
      <c r="D27" s="33" t="str">
        <f>D75</f>
        <v>△43万円、非自発</v>
      </c>
      <c r="E27" s="371"/>
      <c r="F27" s="371"/>
      <c r="G27" s="371"/>
      <c r="H27" s="371"/>
      <c r="I27" s="371"/>
      <c r="J27" s="371"/>
      <c r="K27" s="166"/>
      <c r="L27" s="166"/>
      <c r="M27" s="166"/>
      <c r="N27" s="166"/>
      <c r="O27" s="166"/>
      <c r="P27" s="166"/>
      <c r="Q27" s="166"/>
      <c r="R27" s="167"/>
      <c r="S27" s="162"/>
      <c r="T27" s="171">
        <v>1620000</v>
      </c>
      <c r="U27" s="176">
        <f>MAX(0,IF($C$3&lt;=7,1070000,E55-650000))</f>
        <v>1070000</v>
      </c>
      <c r="V27" s="176">
        <f t="shared" ref="V27:Z27" si="8">MAX(0,IF($C$3&lt;=7,1070000,F55-650000))</f>
        <v>1070000</v>
      </c>
      <c r="W27" s="176">
        <f t="shared" si="8"/>
        <v>1070000</v>
      </c>
      <c r="X27" s="176">
        <f t="shared" si="8"/>
        <v>1070000</v>
      </c>
      <c r="Y27" s="176">
        <f t="shared" si="8"/>
        <v>1070000</v>
      </c>
      <c r="Z27" s="176">
        <f t="shared" si="8"/>
        <v>1070000</v>
      </c>
      <c r="AA27" s="168"/>
      <c r="AB27" s="171"/>
      <c r="AC27" s="168"/>
      <c r="AD27" s="169"/>
      <c r="AE27" s="178"/>
    </row>
    <row r="28" spans="2:31" ht="15.65" customHeight="1" x14ac:dyDescent="0.2">
      <c r="B28" s="179" t="s">
        <v>87</v>
      </c>
      <c r="C28" s="180" t="str">
        <f>HYPERLINK("#軽減制度!A4", "（ア） 非自発的失業 65歳未満")</f>
        <v>（ア） 非自発的失業 65歳未満</v>
      </c>
      <c r="D28" s="27" t="s">
        <v>301</v>
      </c>
      <c r="E28" s="99"/>
      <c r="F28" s="99"/>
      <c r="G28" s="99"/>
      <c r="H28" s="99"/>
      <c r="I28" s="99"/>
      <c r="J28" s="99"/>
      <c r="K28" s="166"/>
      <c r="L28" s="166"/>
      <c r="M28" s="166"/>
      <c r="N28" s="166"/>
      <c r="O28" s="166"/>
      <c r="P28" s="166"/>
      <c r="Q28" s="166"/>
      <c r="R28" s="167"/>
      <c r="S28" s="153"/>
      <c r="T28" s="171">
        <v>1622000</v>
      </c>
      <c r="U28" s="176">
        <f>MAX(0,IF($C$3&lt;=7,1072000,E55-650000))</f>
        <v>1072000</v>
      </c>
      <c r="V28" s="176">
        <f t="shared" ref="V28:Z28" si="9">MAX(0,IF($C$3&lt;=7,1072000,F55-650000))</f>
        <v>1072000</v>
      </c>
      <c r="W28" s="176">
        <f t="shared" si="9"/>
        <v>1072000</v>
      </c>
      <c r="X28" s="176">
        <f t="shared" si="9"/>
        <v>1072000</v>
      </c>
      <c r="Y28" s="176">
        <f t="shared" si="9"/>
        <v>1072000</v>
      </c>
      <c r="Z28" s="176">
        <f t="shared" si="9"/>
        <v>1072000</v>
      </c>
      <c r="AA28" s="168" t="s">
        <v>91</v>
      </c>
      <c r="AB28" s="173"/>
      <c r="AC28" s="168"/>
      <c r="AD28" s="169"/>
      <c r="AE28" s="178"/>
    </row>
    <row r="29" spans="2:31" ht="15.65" customHeight="1" x14ac:dyDescent="0.2">
      <c r="B29" s="179" t="s">
        <v>87</v>
      </c>
      <c r="C29" s="180" t="str">
        <f>HYPERLINK("##軽減制度!A18", "（イ） 旧被扶養者　  65歳以上")</f>
        <v>（イ） 旧被扶養者　  65歳以上</v>
      </c>
      <c r="D29" s="27" t="s">
        <v>301</v>
      </c>
      <c r="E29" s="99"/>
      <c r="F29" s="99"/>
      <c r="G29" s="99"/>
      <c r="H29" s="99"/>
      <c r="I29" s="99"/>
      <c r="J29" s="99"/>
      <c r="K29" s="166"/>
      <c r="L29" s="166"/>
      <c r="M29" s="166"/>
      <c r="N29" s="166"/>
      <c r="O29" s="166"/>
      <c r="P29" s="166"/>
      <c r="Q29" s="166"/>
      <c r="R29" s="167"/>
      <c r="S29" s="181"/>
      <c r="T29" s="171">
        <v>1624000</v>
      </c>
      <c r="U29" s="176">
        <f>MAX(0,IF($C$3&lt;=7,1074000,E55-650000))</f>
        <v>1074000</v>
      </c>
      <c r="V29" s="176">
        <f t="shared" ref="V29:Z29" si="10">MAX(0,IF($C$3&lt;=7,1074000,F55-650000))</f>
        <v>1074000</v>
      </c>
      <c r="W29" s="176">
        <f t="shared" si="10"/>
        <v>1074000</v>
      </c>
      <c r="X29" s="176">
        <f t="shared" si="10"/>
        <v>1074000</v>
      </c>
      <c r="Y29" s="176">
        <f t="shared" si="10"/>
        <v>1074000</v>
      </c>
      <c r="Z29" s="176">
        <f t="shared" si="10"/>
        <v>1074000</v>
      </c>
      <c r="AA29" s="182" t="s">
        <v>2</v>
      </c>
      <c r="AB29" s="173" t="s">
        <v>13</v>
      </c>
      <c r="AC29" s="171"/>
      <c r="AD29" s="169"/>
      <c r="AE29" s="178"/>
    </row>
    <row r="30" spans="2:31" ht="15.65" customHeight="1" x14ac:dyDescent="0.2">
      <c r="B30" s="179" t="s">
        <v>87</v>
      </c>
      <c r="C30" s="183" t="str">
        <f>HYPERLINK("##軽減制度!A29", "（ウ） 産前産後免除")</f>
        <v>（ウ） 産前産後免除</v>
      </c>
      <c r="D30" s="27" t="s">
        <v>232</v>
      </c>
      <c r="E30" s="22"/>
      <c r="F30" s="22"/>
      <c r="G30" s="22"/>
      <c r="H30" s="22"/>
      <c r="I30" s="22"/>
      <c r="J30" s="22"/>
      <c r="K30" s="166"/>
      <c r="L30" s="166"/>
      <c r="M30" s="166"/>
      <c r="N30" s="166"/>
      <c r="O30" s="166"/>
      <c r="P30" s="166"/>
      <c r="Q30" s="166"/>
      <c r="R30" s="167"/>
      <c r="S30" s="181"/>
      <c r="T30" s="171">
        <v>1628000</v>
      </c>
      <c r="U30" s="176">
        <f>MAX(0,IF($C$3&lt;=7,ROUNDDOWN(E55/4,-3)*2.4+100000,E55-650000))</f>
        <v>100000</v>
      </c>
      <c r="V30" s="176">
        <f t="shared" ref="V30:Z30" si="11">MAX(0,IF($C$3&lt;=7,ROUNDDOWN(F55/4,-3)*2.4+100000,F55-650000))</f>
        <v>100000</v>
      </c>
      <c r="W30" s="176">
        <f t="shared" si="11"/>
        <v>100000</v>
      </c>
      <c r="X30" s="176">
        <f t="shared" si="11"/>
        <v>100000</v>
      </c>
      <c r="Y30" s="176">
        <f t="shared" si="11"/>
        <v>100000</v>
      </c>
      <c r="Z30" s="176">
        <f t="shared" si="11"/>
        <v>100000</v>
      </c>
      <c r="AA30" s="168" t="s">
        <v>4</v>
      </c>
      <c r="AB30" s="171" t="s">
        <v>8</v>
      </c>
      <c r="AC30" s="168"/>
      <c r="AD30" s="174"/>
      <c r="AE30" s="178"/>
    </row>
    <row r="31" spans="2:31" ht="15.65" customHeight="1" x14ac:dyDescent="0.2">
      <c r="B31" s="179" t="s">
        <v>87</v>
      </c>
      <c r="C31" s="27" t="s">
        <v>231</v>
      </c>
      <c r="D31" s="27" t="s">
        <v>525</v>
      </c>
      <c r="E31" s="23"/>
      <c r="F31" s="23"/>
      <c r="G31" s="23"/>
      <c r="H31" s="23"/>
      <c r="I31" s="23"/>
      <c r="J31" s="23"/>
      <c r="K31" s="166"/>
      <c r="L31" s="166"/>
      <c r="M31" s="166"/>
      <c r="N31" s="166"/>
      <c r="O31" s="166"/>
      <c r="P31" s="166"/>
      <c r="Q31" s="166"/>
      <c r="R31" s="167"/>
      <c r="S31" s="184"/>
      <c r="T31" s="171">
        <v>1800000</v>
      </c>
      <c r="U31" s="176">
        <f>MAX(0,IF($C$3&lt;=7,ROUNDDOWN(E55/4,-3)*2.8-80000,E55-650000))</f>
        <v>0</v>
      </c>
      <c r="V31" s="176">
        <f t="shared" ref="V31:Z31" si="12">MAX(0,IF($C$3&lt;=7,ROUNDDOWN(F55/4,-3)*2.8-80000,F55-650000))</f>
        <v>0</v>
      </c>
      <c r="W31" s="176">
        <f t="shared" si="12"/>
        <v>0</v>
      </c>
      <c r="X31" s="176">
        <f t="shared" si="12"/>
        <v>0</v>
      </c>
      <c r="Y31" s="176">
        <f t="shared" si="12"/>
        <v>0</v>
      </c>
      <c r="Z31" s="176">
        <f t="shared" si="12"/>
        <v>0</v>
      </c>
      <c r="AA31" s="168" t="s">
        <v>5</v>
      </c>
      <c r="AB31" s="171" t="s">
        <v>100</v>
      </c>
      <c r="AC31" s="168" t="s">
        <v>259</v>
      </c>
      <c r="AD31" s="177" t="s">
        <v>264</v>
      </c>
      <c r="AE31" s="178"/>
    </row>
    <row r="32" spans="2:31" ht="13.25" hidden="1" customHeight="1" x14ac:dyDescent="0.2">
      <c r="B32" s="147"/>
      <c r="C32" s="27" t="s">
        <v>360</v>
      </c>
      <c r="D32" s="27" t="s">
        <v>440</v>
      </c>
      <c r="E32" s="185" t="str">
        <f>IF(AND(E15&gt;=$C$5,E15&lt;=$C$6,E15&lt;&gt;"",E16&lt;&gt;"",E18&lt;&gt;"",E19&lt;&gt;""),"〇","")</f>
        <v/>
      </c>
      <c r="F32" s="185" t="str">
        <f t="shared" ref="F32:J32" si="13">IF(AND(F15&gt;=$C$5,F15&lt;=$C$6,F15&lt;&gt;"",F16&lt;&gt;"",F18&lt;&gt;"",F19&lt;&gt;""),"〇","")</f>
        <v/>
      </c>
      <c r="G32" s="185" t="str">
        <f t="shared" si="13"/>
        <v/>
      </c>
      <c r="H32" s="185" t="str">
        <f>IF(AND(H15&gt;=$C$5,H15&lt;=$C$6,H15&lt;&gt;"",H16&lt;&gt;"",H18&lt;&gt;"",H19&lt;&gt;""),"〇","")</f>
        <v/>
      </c>
      <c r="I32" s="185" t="str">
        <f t="shared" si="13"/>
        <v/>
      </c>
      <c r="J32" s="185" t="str">
        <f t="shared" si="13"/>
        <v/>
      </c>
      <c r="K32" s="166"/>
      <c r="L32" s="166"/>
      <c r="M32" s="166"/>
      <c r="N32" s="166"/>
      <c r="O32" s="166"/>
      <c r="P32" s="166"/>
      <c r="Q32" s="166"/>
      <c r="R32" s="167"/>
      <c r="S32" s="181"/>
      <c r="T32" s="171">
        <v>1900000</v>
      </c>
      <c r="U32" s="176">
        <f>MAX(0,ROUNDDOWN(E55/4,-3)*2.8-80000)</f>
        <v>0</v>
      </c>
      <c r="V32" s="176">
        <f t="shared" ref="V32:Z32" si="14">MAX(0,ROUNDDOWN(F55/4,-3)*2.8-80000)</f>
        <v>0</v>
      </c>
      <c r="W32" s="176">
        <f t="shared" si="14"/>
        <v>0</v>
      </c>
      <c r="X32" s="176">
        <f t="shared" si="14"/>
        <v>0</v>
      </c>
      <c r="Y32" s="176">
        <f t="shared" si="14"/>
        <v>0</v>
      </c>
      <c r="Z32" s="176">
        <f t="shared" si="14"/>
        <v>0</v>
      </c>
      <c r="AA32" s="168"/>
      <c r="AB32" s="171"/>
      <c r="AC32" s="168" t="s">
        <v>263</v>
      </c>
      <c r="AD32" s="169" t="s">
        <v>100</v>
      </c>
      <c r="AE32" s="175"/>
    </row>
    <row r="33" spans="3:31" ht="13.25" hidden="1" customHeight="1" x14ac:dyDescent="0.2">
      <c r="C33" s="27" t="s">
        <v>14</v>
      </c>
      <c r="D33" s="27" t="s">
        <v>67</v>
      </c>
      <c r="E33" s="186" t="str">
        <f t="shared" ref="E33:J33" si="15">IFERROR(DATE(IF(LEFT(E19,1)="2",1911,IF(LEFT(E19,1)="3",1925,IF(LEFT(E19,1)="4",1988,IF(LEFT(E19,1)="5",2018,""))))+ VALUE(MID(E19,2,2)),VALUE(MID(E19,4,2)),VALUE(RIGHT(E19,2))),"")</f>
        <v/>
      </c>
      <c r="F33" s="186" t="str">
        <f t="shared" si="15"/>
        <v/>
      </c>
      <c r="G33" s="186" t="str">
        <f t="shared" si="15"/>
        <v/>
      </c>
      <c r="H33" s="186" t="str">
        <f>IFERROR(DATE(IF(LEFT(H19,1)="2",1911,IF(LEFT(H19,1)="3",1925,IF(LEFT(H19,1)="4",1988,IF(LEFT(H19,1)="5",2018,""))))+ VALUE(MID(H19,2,2)),VALUE(MID(H19,4,2)),VALUE(RIGHT(H19,2))),"")</f>
        <v/>
      </c>
      <c r="I33" s="186" t="str">
        <f t="shared" si="15"/>
        <v/>
      </c>
      <c r="J33" s="186" t="str">
        <f t="shared" si="15"/>
        <v/>
      </c>
      <c r="K33" s="187"/>
      <c r="L33" s="187"/>
      <c r="M33" s="187"/>
      <c r="N33" s="187"/>
      <c r="O33" s="187"/>
      <c r="P33" s="187"/>
      <c r="Q33" s="187"/>
      <c r="R33" s="188"/>
      <c r="S33" s="184"/>
      <c r="T33" s="171">
        <v>3600000</v>
      </c>
      <c r="U33" s="176">
        <f>MAX(0,ROUNDDOWN(E55/4,-3)*3.2-440000)</f>
        <v>0</v>
      </c>
      <c r="V33" s="176">
        <f t="shared" ref="V33:Z33" si="16">MAX(0,ROUNDDOWN(F55/4,-3)*3.2-440000)</f>
        <v>0</v>
      </c>
      <c r="W33" s="176">
        <f t="shared" si="16"/>
        <v>0</v>
      </c>
      <c r="X33" s="176">
        <f t="shared" si="16"/>
        <v>0</v>
      </c>
      <c r="Y33" s="176">
        <f t="shared" si="16"/>
        <v>0</v>
      </c>
      <c r="Z33" s="176">
        <f t="shared" si="16"/>
        <v>0</v>
      </c>
      <c r="AA33" s="168" t="s">
        <v>6</v>
      </c>
      <c r="AB33" s="171" t="s">
        <v>9</v>
      </c>
      <c r="AC33" s="168" t="s">
        <v>6</v>
      </c>
      <c r="AD33" s="169" t="s">
        <v>9</v>
      </c>
      <c r="AE33" s="189"/>
    </row>
    <row r="34" spans="3:31" ht="13.25" hidden="1" customHeight="1" x14ac:dyDescent="0.2">
      <c r="C34" s="27" t="s">
        <v>367</v>
      </c>
      <c r="D34" s="154">
        <f>DATE((C3+2018),4,1)</f>
        <v>45748</v>
      </c>
      <c r="E34" s="190" t="str">
        <f t="shared" ref="E34:J34" si="17">IF(AND(E19&lt;&gt;"",$C5&lt;E33),0,IFERROR(DATEDIF(E33,$D34,"y"),""))</f>
        <v/>
      </c>
      <c r="F34" s="190" t="str">
        <f t="shared" si="17"/>
        <v/>
      </c>
      <c r="G34" s="190" t="str">
        <f t="shared" si="17"/>
        <v/>
      </c>
      <c r="H34" s="190" t="str">
        <f>IF(AND(H19&lt;&gt;"",$C5&lt;H33),0,IFERROR(DATEDIF(H33,$D34,"y"),""))</f>
        <v/>
      </c>
      <c r="I34" s="190" t="str">
        <f t="shared" si="17"/>
        <v/>
      </c>
      <c r="J34" s="190" t="str">
        <f t="shared" si="17"/>
        <v/>
      </c>
      <c r="K34" s="461" t="s">
        <v>169</v>
      </c>
      <c r="L34" s="462"/>
      <c r="M34" s="462"/>
      <c r="N34" s="121"/>
      <c r="O34" s="120"/>
      <c r="P34" s="120"/>
      <c r="Q34" s="121"/>
      <c r="R34" s="191" t="s">
        <v>108</v>
      </c>
      <c r="S34" s="184"/>
      <c r="T34" s="171">
        <v>6600000</v>
      </c>
      <c r="U34" s="176">
        <f>MAX(0,E55*0.9-1100000)</f>
        <v>0</v>
      </c>
      <c r="V34" s="176">
        <f t="shared" ref="V34:Z34" si="18">MAX(0,F55*0.9-1100000)</f>
        <v>0</v>
      </c>
      <c r="W34" s="176">
        <f t="shared" si="18"/>
        <v>0</v>
      </c>
      <c r="X34" s="176">
        <f t="shared" si="18"/>
        <v>0</v>
      </c>
      <c r="Y34" s="176">
        <f t="shared" si="18"/>
        <v>0</v>
      </c>
      <c r="Z34" s="176">
        <f t="shared" si="18"/>
        <v>0</v>
      </c>
      <c r="AA34" s="168" t="s">
        <v>7</v>
      </c>
      <c r="AB34" s="171" t="s">
        <v>10</v>
      </c>
      <c r="AC34" s="168" t="s">
        <v>7</v>
      </c>
      <c r="AD34" s="169" t="s">
        <v>262</v>
      </c>
      <c r="AE34" s="189"/>
    </row>
    <row r="35" spans="3:31" ht="13.25" hidden="1" customHeight="1" x14ac:dyDescent="0.2">
      <c r="C35" s="27" t="s">
        <v>150</v>
      </c>
      <c r="D35" s="192"/>
      <c r="E35" s="193" t="str">
        <f t="shared" ref="E35:J35" si="19">IF(AND(E19&lt;&gt;"",$C5&lt;E33),"0歳0月",IFERROR(DATEDIF(E33,$C5,"y") &amp; "歳" &amp;DATEDIF(E33,$C5,"ym") &amp; "月","")
)</f>
        <v/>
      </c>
      <c r="F35" s="193" t="str">
        <f t="shared" si="19"/>
        <v/>
      </c>
      <c r="G35" s="193" t="str">
        <f t="shared" si="19"/>
        <v/>
      </c>
      <c r="H35" s="193" t="str">
        <f>IF(AND(H19&lt;&gt;"",$C5&lt;H33),"0歳0月",IFERROR(DATEDIF(H33,$C5,"y") &amp; "歳" &amp;DATEDIF(H33,$C5,"ym") &amp; "月","")
)</f>
        <v/>
      </c>
      <c r="I35" s="193" t="str">
        <f t="shared" si="19"/>
        <v/>
      </c>
      <c r="J35" s="193" t="str">
        <f t="shared" si="19"/>
        <v/>
      </c>
      <c r="K35" s="166">
        <f>DATE(($C$3+2018),4,1)</f>
        <v>45748</v>
      </c>
      <c r="L35" s="121">
        <f t="shared" ref="L35:L46" si="20">IF(E$32="〇",IF(OR(E$17&lt;0,E$17="",E$18="後期高齢者",E$18="☆擬制世帯主",E$18="☆擬制世帯主【旧国保】",E$18="☆旧国保世帯員",E$18=""),0,IFERROR(IF(AND(MOD(MONTH(E$15)-4,12)&lt;=MOD(MONTH($K35)-4,12),E$41&gt;=$K35,IF(E$16=EOMONTH($K35,0),E$16&gt;=$K35,E$16&gt;EOMONTH($K35,0))),1,0),0)),0)</f>
        <v>0</v>
      </c>
      <c r="M35" s="121">
        <f t="shared" ref="M35:M46" si="21">IF(F$32="〇",IF(OR(F$17&lt;0,F$17="",F$18="後期高齢者",F$18="☆擬制世帯主",F$18="☆擬制世帯主【旧国保】",F$18="☆旧国保世帯員",F$18=""),0,IFERROR(IF(AND(MOD(MONTH(F$15)-4,12)&lt;=MOD(MONTH($K35)-4,12),F$41&gt;=$K35,IF(F$16=EOMONTH($K35,0),F$16&gt;=$K35,F$16&gt;EOMONTH($K35,0))),1,0),0)),0)</f>
        <v>0</v>
      </c>
      <c r="N35" s="121">
        <f t="shared" ref="N35:N46" si="22">IF(G$32="〇",IF(OR(G$17&lt;0,G$17="",G$18="後期高齢者",G$18="☆擬制世帯主",G$18="☆擬制世帯主【旧国保】",G$18="☆旧国保世帯員",G$18=""),0,IFERROR(IF(AND(MOD(MONTH(G$15)-4,12)&lt;=MOD(MONTH($K35)-4,12),G$41&gt;=$K35,IF(G$16=EOMONTH($K35,0),G$16&gt;=$K35,G$16&gt;EOMONTH($K35,0))),1,0),0)),0)</f>
        <v>0</v>
      </c>
      <c r="O35" s="121">
        <f t="shared" ref="O35:O46" si="23">IF(H$32="〇",IF(OR(H$17&lt;0,H$17="",H$18="後期高齢者",H$18="☆擬制世帯主",H$18="☆擬制世帯主【旧国保】",H$18="☆旧国保世帯員",H$18=""),0,IFERROR(IF(AND(MOD(MONTH(H$15)-4,12)&lt;=MOD(MONTH($K35)-4,12),H$41&gt;=$K35,IF(H$16=EOMONTH($K35,0),H$16&gt;=$K35,H$16&gt;EOMONTH($K35,0))),1,0),0)),0)</f>
        <v>0</v>
      </c>
      <c r="P35" s="121">
        <f t="shared" ref="P35:P46" si="24">IF(I$32="〇",IF(OR(I$17&lt;0,I$17="",I$18="後期高齢者",I$18="☆擬制世帯主",I$18="☆擬制世帯主【旧国保】",I$18="☆旧国保世帯員",I$18=""),0,IFERROR(IF(AND(MOD(MONTH(I$15)-4,12)&lt;=MOD(MONTH($K35)-4,12),I$41&gt;=$K35,IF(I$16=EOMONTH($K35,0),I$16&gt;=$K35,I$16&gt;EOMONTH($K35,0))),1,0),0)),0)</f>
        <v>0</v>
      </c>
      <c r="Q35" s="121">
        <f t="shared" ref="Q35:Q46" si="25">IF(J$32="〇",IF(OR(J$17&lt;0,J$17="",J$18="後期高齢者",J$18="☆擬制世帯主",J$18="☆擬制世帯主【旧国保】",J$18="☆旧国保世帯員",J$18=""),0,IFERROR(IF(AND(MOD(MONTH(J$15)-4,12)&lt;=MOD(MONTH($K35)-4,12),J$41&gt;=$K35,IF(J$16=EOMONTH($K35,0),J$16&gt;=$K35,J$16&gt;EOMONTH($K35,0))),1,0),0)),0)</f>
        <v>0</v>
      </c>
      <c r="R35" s="194">
        <f t="shared" ref="R35:R46" si="26">SUM(L35:Q35)</f>
        <v>0</v>
      </c>
      <c r="S35" s="195"/>
      <c r="T35" s="171">
        <v>8500000</v>
      </c>
      <c r="U35" s="176">
        <f>MAX(0,E55-1950000)</f>
        <v>0</v>
      </c>
      <c r="V35" s="176">
        <f t="shared" ref="V35:Z35" si="27">MAX(0,F55-1950000)</f>
        <v>0</v>
      </c>
      <c r="W35" s="176">
        <f t="shared" si="27"/>
        <v>0</v>
      </c>
      <c r="X35" s="176">
        <f t="shared" si="27"/>
        <v>0</v>
      </c>
      <c r="Y35" s="176">
        <f t="shared" si="27"/>
        <v>0</v>
      </c>
      <c r="Z35" s="176">
        <f t="shared" si="27"/>
        <v>0</v>
      </c>
      <c r="AA35" s="168" t="s">
        <v>12</v>
      </c>
      <c r="AB35" s="171" t="s">
        <v>11</v>
      </c>
      <c r="AC35" s="171" t="s">
        <v>260</v>
      </c>
      <c r="AD35" s="169" t="s">
        <v>261</v>
      </c>
      <c r="AE35" s="189"/>
    </row>
    <row r="36" spans="3:31" ht="13.25" hidden="1" customHeight="1" x14ac:dyDescent="0.2">
      <c r="C36" s="123" t="s">
        <v>90</v>
      </c>
      <c r="D36" s="154">
        <f>DATE((C3+2018),1,1)</f>
        <v>45658</v>
      </c>
      <c r="E36" s="190" t="str">
        <f t="shared" ref="E36:J36" si="28">IFERROR(DATEDIF(E33,$D36,"y"),"")</f>
        <v/>
      </c>
      <c r="F36" s="190" t="str">
        <f t="shared" si="28"/>
        <v/>
      </c>
      <c r="G36" s="190" t="str">
        <f t="shared" si="28"/>
        <v/>
      </c>
      <c r="H36" s="190" t="str">
        <f t="shared" si="28"/>
        <v/>
      </c>
      <c r="I36" s="190" t="str">
        <f t="shared" si="28"/>
        <v/>
      </c>
      <c r="J36" s="190" t="str">
        <f t="shared" si="28"/>
        <v/>
      </c>
      <c r="K36" s="166">
        <f>DATE(($C$3+2018),5,1)</f>
        <v>45778</v>
      </c>
      <c r="L36" s="121">
        <f t="shared" si="20"/>
        <v>0</v>
      </c>
      <c r="M36" s="121">
        <f t="shared" si="21"/>
        <v>0</v>
      </c>
      <c r="N36" s="121">
        <f t="shared" si="22"/>
        <v>0</v>
      </c>
      <c r="O36" s="121">
        <f t="shared" si="23"/>
        <v>0</v>
      </c>
      <c r="P36" s="121">
        <f t="shared" si="24"/>
        <v>0</v>
      </c>
      <c r="Q36" s="121">
        <f t="shared" si="25"/>
        <v>0</v>
      </c>
      <c r="R36" s="194">
        <f t="shared" si="26"/>
        <v>0</v>
      </c>
      <c r="S36" s="122"/>
      <c r="T36" s="196"/>
      <c r="U36" s="197"/>
      <c r="V36" s="197"/>
      <c r="W36" s="197"/>
      <c r="X36" s="197"/>
      <c r="Y36" s="197"/>
      <c r="Z36" s="197"/>
      <c r="AB36" s="196"/>
    </row>
    <row r="37" spans="3:31" ht="13.25" hidden="1" customHeight="1" x14ac:dyDescent="0.2">
      <c r="C37" s="27" t="s">
        <v>337</v>
      </c>
      <c r="E37" s="198" t="str">
        <f t="shared" ref="E37:J37" si="29">IFERROR(DATE(YEAR(E33-1)+40,MONTH(E33-1),DAY(E33-1)),"")</f>
        <v/>
      </c>
      <c r="F37" s="198" t="str">
        <f t="shared" si="29"/>
        <v/>
      </c>
      <c r="G37" s="198" t="str">
        <f t="shared" si="29"/>
        <v/>
      </c>
      <c r="H37" s="198" t="str">
        <f t="shared" si="29"/>
        <v/>
      </c>
      <c r="I37" s="198" t="str">
        <f t="shared" si="29"/>
        <v/>
      </c>
      <c r="J37" s="198" t="str">
        <f t="shared" si="29"/>
        <v/>
      </c>
      <c r="K37" s="166">
        <f>DATE(($C$3+2018),6,1)</f>
        <v>45809</v>
      </c>
      <c r="L37" s="121">
        <f t="shared" si="20"/>
        <v>0</v>
      </c>
      <c r="M37" s="121">
        <f t="shared" si="21"/>
        <v>0</v>
      </c>
      <c r="N37" s="121">
        <f t="shared" si="22"/>
        <v>0</v>
      </c>
      <c r="O37" s="121">
        <f t="shared" si="23"/>
        <v>0</v>
      </c>
      <c r="P37" s="121">
        <f t="shared" si="24"/>
        <v>0</v>
      </c>
      <c r="Q37" s="121">
        <f t="shared" si="25"/>
        <v>0</v>
      </c>
      <c r="R37" s="194">
        <f t="shared" si="26"/>
        <v>0</v>
      </c>
      <c r="S37" s="122"/>
      <c r="T37" s="196" t="s">
        <v>444</v>
      </c>
      <c r="U37" s="197"/>
      <c r="V37" s="197"/>
      <c r="W37" s="197"/>
      <c r="X37" s="197"/>
      <c r="Y37" s="197"/>
      <c r="Z37" s="197"/>
      <c r="AB37" s="196"/>
    </row>
    <row r="38" spans="3:31" ht="13.25" hidden="1" customHeight="1" x14ac:dyDescent="0.2">
      <c r="C38" s="27" t="s">
        <v>334</v>
      </c>
      <c r="D38" s="27" t="s">
        <v>105</v>
      </c>
      <c r="E38" s="199" t="str">
        <f t="shared" ref="E38:J38" si="30">IFERROR(IF(DATEDIF(E37, EOMONTH(E16,0), "m")&gt;12,"",DATEDIF(E37, EOMONTH(E16,0), "m")+1),"")</f>
        <v/>
      </c>
      <c r="F38" s="199" t="str">
        <f t="shared" si="30"/>
        <v/>
      </c>
      <c r="G38" s="199" t="str">
        <f t="shared" si="30"/>
        <v/>
      </c>
      <c r="H38" s="199" t="str">
        <f t="shared" si="30"/>
        <v/>
      </c>
      <c r="I38" s="199" t="str">
        <f t="shared" si="30"/>
        <v/>
      </c>
      <c r="J38" s="199" t="str">
        <f t="shared" si="30"/>
        <v/>
      </c>
      <c r="K38" s="166">
        <f>DATE(($C$3+2018),7,1)</f>
        <v>45839</v>
      </c>
      <c r="L38" s="121">
        <f t="shared" si="20"/>
        <v>0</v>
      </c>
      <c r="M38" s="121">
        <f t="shared" si="21"/>
        <v>0</v>
      </c>
      <c r="N38" s="121">
        <f t="shared" si="22"/>
        <v>0</v>
      </c>
      <c r="O38" s="121">
        <f t="shared" si="23"/>
        <v>0</v>
      </c>
      <c r="P38" s="121">
        <f t="shared" si="24"/>
        <v>0</v>
      </c>
      <c r="Q38" s="121">
        <f t="shared" si="25"/>
        <v>0</v>
      </c>
      <c r="R38" s="194">
        <f t="shared" si="26"/>
        <v>0</v>
      </c>
      <c r="S38" s="122"/>
      <c r="T38" s="139" t="s">
        <v>3</v>
      </c>
      <c r="U38" s="200" t="s">
        <v>282</v>
      </c>
      <c r="V38" s="200" t="s">
        <v>285</v>
      </c>
      <c r="W38" s="200" t="s">
        <v>288</v>
      </c>
      <c r="X38" s="200" t="s">
        <v>291</v>
      </c>
      <c r="Y38" s="200" t="s">
        <v>294</v>
      </c>
      <c r="Z38" s="200" t="s">
        <v>297</v>
      </c>
      <c r="AA38" s="139" t="s">
        <v>3</v>
      </c>
      <c r="AB38" s="138" t="s">
        <v>265</v>
      </c>
      <c r="AC38" s="168" t="s">
        <v>3</v>
      </c>
      <c r="AD38" s="169" t="s">
        <v>266</v>
      </c>
    </row>
    <row r="39" spans="3:31" ht="13.25" hidden="1" customHeight="1" x14ac:dyDescent="0.2">
      <c r="C39" s="27" t="s">
        <v>333</v>
      </c>
      <c r="E39" s="198" t="str">
        <f t="shared" ref="E39:J39" si="31">IFERROR(DATE(YEAR(E33-1)+64,MONTH(E33-1)+11,DAY(E33-1)),"")</f>
        <v/>
      </c>
      <c r="F39" s="198" t="str">
        <f t="shared" si="31"/>
        <v/>
      </c>
      <c r="G39" s="198" t="str">
        <f t="shared" si="31"/>
        <v/>
      </c>
      <c r="H39" s="198" t="str">
        <f t="shared" si="31"/>
        <v/>
      </c>
      <c r="I39" s="198" t="str">
        <f t="shared" si="31"/>
        <v/>
      </c>
      <c r="J39" s="198" t="str">
        <f t="shared" si="31"/>
        <v/>
      </c>
      <c r="K39" s="166">
        <f>DATE(($C$3+2018),8,1)</f>
        <v>45870</v>
      </c>
      <c r="L39" s="121">
        <f t="shared" si="20"/>
        <v>0</v>
      </c>
      <c r="M39" s="121">
        <f t="shared" si="21"/>
        <v>0</v>
      </c>
      <c r="N39" s="121">
        <f t="shared" si="22"/>
        <v>0</v>
      </c>
      <c r="O39" s="121">
        <f t="shared" si="23"/>
        <v>0</v>
      </c>
      <c r="P39" s="121">
        <f t="shared" si="24"/>
        <v>0</v>
      </c>
      <c r="Q39" s="121">
        <f t="shared" si="25"/>
        <v>0</v>
      </c>
      <c r="R39" s="194">
        <f t="shared" si="26"/>
        <v>0</v>
      </c>
      <c r="S39" s="122"/>
      <c r="T39" s="171">
        <v>0</v>
      </c>
      <c r="U39" s="201">
        <v>0</v>
      </c>
      <c r="V39" s="201">
        <v>0</v>
      </c>
      <c r="W39" s="201">
        <v>0</v>
      </c>
      <c r="X39" s="201">
        <v>0</v>
      </c>
      <c r="Y39" s="201">
        <v>0</v>
      </c>
      <c r="Z39" s="201">
        <v>0</v>
      </c>
      <c r="AA39" s="168"/>
      <c r="AB39" s="173"/>
      <c r="AC39" s="168"/>
      <c r="AD39" s="174"/>
    </row>
    <row r="40" spans="3:31" ht="13.25" hidden="1" customHeight="1" x14ac:dyDescent="0.2">
      <c r="C40" s="27" t="s">
        <v>335</v>
      </c>
      <c r="D40" s="27" t="s">
        <v>106</v>
      </c>
      <c r="E40" s="199" t="str">
        <f t="shared" ref="E40:J40" si="32">IFERROR(IF(DATEDIF(DATE(YEAR(E15),MONTH(E15),1), EOMONTH(E39,0), "m")&gt;12,"",IF(E16&lt;E39,DATEDIF(DATE(YEAR(E15),MONTH(E15),1), EOMONTH(E16,0), "m")+1,DATEDIF(DATE(YEAR(E15),MONTH(E15),1), EOMONTH(E39,0), "m")+1)),"")</f>
        <v/>
      </c>
      <c r="F40" s="199" t="str">
        <f t="shared" si="32"/>
        <v/>
      </c>
      <c r="G40" s="199" t="str">
        <f t="shared" si="32"/>
        <v/>
      </c>
      <c r="H40" s="199" t="str">
        <f t="shared" si="32"/>
        <v/>
      </c>
      <c r="I40" s="199" t="str">
        <f t="shared" si="32"/>
        <v/>
      </c>
      <c r="J40" s="199" t="str">
        <f t="shared" si="32"/>
        <v/>
      </c>
      <c r="K40" s="166">
        <f>DATE(($C$3+2018),9,1)</f>
        <v>45901</v>
      </c>
      <c r="L40" s="121">
        <f t="shared" si="20"/>
        <v>0</v>
      </c>
      <c r="M40" s="121">
        <f t="shared" si="21"/>
        <v>0</v>
      </c>
      <c r="N40" s="121">
        <f t="shared" si="22"/>
        <v>0</v>
      </c>
      <c r="O40" s="121">
        <f t="shared" si="23"/>
        <v>0</v>
      </c>
      <c r="P40" s="121">
        <f t="shared" si="24"/>
        <v>0</v>
      </c>
      <c r="Q40" s="121">
        <f t="shared" si="25"/>
        <v>0</v>
      </c>
      <c r="R40" s="194">
        <f t="shared" si="26"/>
        <v>0</v>
      </c>
      <c r="S40" s="181"/>
      <c r="T40" s="171">
        <v>551000</v>
      </c>
      <c r="U40" s="176">
        <f>MAX(0,IF($C$3&lt;=7,E53-550000,E53-650000))</f>
        <v>0</v>
      </c>
      <c r="V40" s="176">
        <f t="shared" ref="V40:Z40" si="33">MAX(0,IF($C$3&lt;=7,F53-550000,F53-650000))</f>
        <v>0</v>
      </c>
      <c r="W40" s="176">
        <f t="shared" si="33"/>
        <v>0</v>
      </c>
      <c r="X40" s="176">
        <f t="shared" si="33"/>
        <v>0</v>
      </c>
      <c r="Y40" s="176">
        <f t="shared" si="33"/>
        <v>0</v>
      </c>
      <c r="Z40" s="176">
        <f t="shared" si="33"/>
        <v>0</v>
      </c>
      <c r="AA40" s="168"/>
      <c r="AB40" s="171"/>
      <c r="AC40" s="168"/>
      <c r="AD40" s="177"/>
    </row>
    <row r="41" spans="3:31" ht="13.25" hidden="1" customHeight="1" x14ac:dyDescent="0.2">
      <c r="C41" s="27" t="s">
        <v>336</v>
      </c>
      <c r="E41" s="198" t="str">
        <f t="shared" ref="E41:J41" si="34">IFERROR(DATE(YEAR(E33-1)+74,MONTH(E33-1)+11,DAY(E33-1)),"")</f>
        <v/>
      </c>
      <c r="F41" s="198" t="str">
        <f t="shared" si="34"/>
        <v/>
      </c>
      <c r="G41" s="198" t="str">
        <f t="shared" si="34"/>
        <v/>
      </c>
      <c r="H41" s="198" t="str">
        <f t="shared" si="34"/>
        <v/>
      </c>
      <c r="I41" s="198" t="str">
        <f t="shared" si="34"/>
        <v/>
      </c>
      <c r="J41" s="198" t="str">
        <f t="shared" si="34"/>
        <v/>
      </c>
      <c r="K41" s="166">
        <f>DATE(($C$3+2018),10,1)</f>
        <v>45931</v>
      </c>
      <c r="L41" s="121">
        <f t="shared" si="20"/>
        <v>0</v>
      </c>
      <c r="M41" s="121">
        <f t="shared" si="21"/>
        <v>0</v>
      </c>
      <c r="N41" s="121">
        <f t="shared" si="22"/>
        <v>0</v>
      </c>
      <c r="O41" s="121">
        <f t="shared" si="23"/>
        <v>0</v>
      </c>
      <c r="P41" s="121">
        <f t="shared" si="24"/>
        <v>0</v>
      </c>
      <c r="Q41" s="121">
        <f t="shared" si="25"/>
        <v>0</v>
      </c>
      <c r="R41" s="194">
        <f t="shared" si="26"/>
        <v>0</v>
      </c>
      <c r="S41" s="181"/>
      <c r="T41" s="171">
        <v>1619000</v>
      </c>
      <c r="U41" s="176">
        <f>MAX(0,IF($C$3&lt;=7,1069000,E53-650000))</f>
        <v>1069000</v>
      </c>
      <c r="V41" s="176">
        <f t="shared" ref="V41:Z41" si="35">MAX(0,IF($C$3&lt;=7,1069000,F53-650000))</f>
        <v>1069000</v>
      </c>
      <c r="W41" s="176">
        <f t="shared" si="35"/>
        <v>1069000</v>
      </c>
      <c r="X41" s="176">
        <f t="shared" si="35"/>
        <v>1069000</v>
      </c>
      <c r="Y41" s="176">
        <f t="shared" si="35"/>
        <v>1069000</v>
      </c>
      <c r="Z41" s="176">
        <f t="shared" si="35"/>
        <v>1069000</v>
      </c>
      <c r="AA41" s="168"/>
      <c r="AB41" s="171"/>
      <c r="AC41" s="168"/>
      <c r="AD41" s="169"/>
    </row>
    <row r="42" spans="3:31" ht="13.25" hidden="1" customHeight="1" x14ac:dyDescent="0.2">
      <c r="C42" s="27" t="s">
        <v>43</v>
      </c>
      <c r="E42" s="199" t="str">
        <f>IFERROR(IF(DATEDIF(DATE(YEAR(E15),MONTH(E15),1),EOMONTH(E41,0),"m")&gt;12,"",DATEDIF(DATE(YEAR(E15),MONTH(E15),1),EOMONTH(E41,0),"m")+1),"")</f>
        <v/>
      </c>
      <c r="F42" s="199" t="str">
        <f t="shared" ref="F42:J42" si="36">IFERROR(IF(DATEDIF(DATE(YEAR(F15),MONTH(F15),1),EOMONTH(F41,0),"m")&gt;12,"",DATEDIF(DATE(YEAR(F15),MONTH(F15),1),EOMONTH(F41,0),"m")+1),"")</f>
        <v/>
      </c>
      <c r="G42" s="199" t="str">
        <f t="shared" si="36"/>
        <v/>
      </c>
      <c r="H42" s="199" t="str">
        <f t="shared" si="36"/>
        <v/>
      </c>
      <c r="I42" s="199" t="str">
        <f t="shared" si="36"/>
        <v/>
      </c>
      <c r="J42" s="199" t="str">
        <f t="shared" si="36"/>
        <v/>
      </c>
      <c r="K42" s="166">
        <f>DATE(($C$3+2018),11,1)</f>
        <v>45962</v>
      </c>
      <c r="L42" s="121">
        <f t="shared" si="20"/>
        <v>0</v>
      </c>
      <c r="M42" s="121">
        <f t="shared" si="21"/>
        <v>0</v>
      </c>
      <c r="N42" s="121">
        <f t="shared" si="22"/>
        <v>0</v>
      </c>
      <c r="O42" s="121">
        <f t="shared" si="23"/>
        <v>0</v>
      </c>
      <c r="P42" s="121">
        <f t="shared" si="24"/>
        <v>0</v>
      </c>
      <c r="Q42" s="121">
        <f t="shared" si="25"/>
        <v>0</v>
      </c>
      <c r="R42" s="194">
        <f t="shared" si="26"/>
        <v>0</v>
      </c>
      <c r="S42" s="195"/>
      <c r="T42" s="171">
        <v>1620000</v>
      </c>
      <c r="U42" s="176">
        <f>MAX(0,IF($C$3&lt;=7,1070000,E53-650000))</f>
        <v>1070000</v>
      </c>
      <c r="V42" s="176">
        <f t="shared" ref="V42:Z42" si="37">MAX(0,IF($C$3&lt;=7,1070000,F53-650000))</f>
        <v>1070000</v>
      </c>
      <c r="W42" s="176">
        <f t="shared" si="37"/>
        <v>1070000</v>
      </c>
      <c r="X42" s="176">
        <f t="shared" si="37"/>
        <v>1070000</v>
      </c>
      <c r="Y42" s="176">
        <f t="shared" si="37"/>
        <v>1070000</v>
      </c>
      <c r="Z42" s="176">
        <f t="shared" si="37"/>
        <v>1070000</v>
      </c>
      <c r="AA42" s="168"/>
      <c r="AB42" s="171"/>
      <c r="AC42" s="168"/>
      <c r="AD42" s="169"/>
    </row>
    <row r="43" spans="3:31" ht="13.25" hidden="1" customHeight="1" x14ac:dyDescent="0.2">
      <c r="C43" s="27" t="s">
        <v>448</v>
      </c>
      <c r="D43" s="27" t="s">
        <v>329</v>
      </c>
      <c r="E43" s="202" t="str">
        <f>IF(E32&lt;&gt;"〇","",IF(E20&gt;=75,DATE(YEAR(E33)+75,MONTH(E33),DAY(E33)-1),E15))</f>
        <v/>
      </c>
      <c r="F43" s="202" t="str">
        <f t="shared" ref="F43:J43" si="38">IF(F32&lt;&gt;"〇","",IF(F20&gt;=75,DATE(YEAR(F33)+75,MONTH(F33),DAY(F33)-1),F15))</f>
        <v/>
      </c>
      <c r="G43" s="202" t="str">
        <f t="shared" si="38"/>
        <v/>
      </c>
      <c r="H43" s="202" t="str">
        <f t="shared" si="38"/>
        <v/>
      </c>
      <c r="I43" s="202" t="str">
        <f t="shared" si="38"/>
        <v/>
      </c>
      <c r="J43" s="202" t="str">
        <f t="shared" si="38"/>
        <v/>
      </c>
      <c r="K43" s="166">
        <f>DATE(($C$3+2018),12,1)</f>
        <v>45992</v>
      </c>
      <c r="L43" s="121">
        <f t="shared" si="20"/>
        <v>0</v>
      </c>
      <c r="M43" s="121">
        <f t="shared" si="21"/>
        <v>0</v>
      </c>
      <c r="N43" s="121">
        <f t="shared" si="22"/>
        <v>0</v>
      </c>
      <c r="O43" s="121">
        <f t="shared" si="23"/>
        <v>0</v>
      </c>
      <c r="P43" s="121">
        <f t="shared" si="24"/>
        <v>0</v>
      </c>
      <c r="Q43" s="121">
        <f t="shared" si="25"/>
        <v>0</v>
      </c>
      <c r="R43" s="194">
        <f t="shared" si="26"/>
        <v>0</v>
      </c>
      <c r="S43" s="122"/>
      <c r="T43" s="171">
        <v>1622000</v>
      </c>
      <c r="U43" s="176">
        <f>MAX(0,IF($C$3&lt;=7,1072000,E53-650000))</f>
        <v>1072000</v>
      </c>
      <c r="V43" s="176">
        <f t="shared" ref="V43:Z43" si="39">MAX(0,IF($C$3&lt;=7,1072000,F53-650000))</f>
        <v>1072000</v>
      </c>
      <c r="W43" s="176">
        <f t="shared" si="39"/>
        <v>1072000</v>
      </c>
      <c r="X43" s="176">
        <f t="shared" si="39"/>
        <v>1072000</v>
      </c>
      <c r="Y43" s="176">
        <f t="shared" si="39"/>
        <v>1072000</v>
      </c>
      <c r="Z43" s="176">
        <f t="shared" si="39"/>
        <v>1072000</v>
      </c>
      <c r="AA43" s="168" t="s">
        <v>91</v>
      </c>
      <c r="AB43" s="173"/>
      <c r="AC43" s="168"/>
      <c r="AD43" s="169"/>
    </row>
    <row r="44" spans="3:31" ht="13.25" hidden="1" customHeight="1" x14ac:dyDescent="0.2">
      <c r="C44" s="27" t="s">
        <v>331</v>
      </c>
      <c r="D44" s="27" t="s">
        <v>330</v>
      </c>
      <c r="E44" s="203" t="str">
        <f>IF(OR(E15="",E43="",E15&lt;E43),"",(YEAR(E15)-YEAR(E43))*12 + MONTH(E15)-MONTH(E43)+1)</f>
        <v/>
      </c>
      <c r="F44" s="203" t="str">
        <f t="shared" ref="F44:J44" si="40">IF(OR(F15="",F43="",F15&lt;F43),"",(YEAR(F15)-YEAR(F43))*12 + MONTH(F15)-MONTH(F43)+1)</f>
        <v/>
      </c>
      <c r="G44" s="203" t="str">
        <f t="shared" si="40"/>
        <v/>
      </c>
      <c r="H44" s="203" t="str">
        <f t="shared" si="40"/>
        <v/>
      </c>
      <c r="I44" s="203" t="str">
        <f t="shared" si="40"/>
        <v/>
      </c>
      <c r="J44" s="203" t="str">
        <f t="shared" si="40"/>
        <v/>
      </c>
      <c r="K44" s="166">
        <f>DATE(($C$3+2019),1,1)</f>
        <v>46023</v>
      </c>
      <c r="L44" s="121">
        <f t="shared" si="20"/>
        <v>0</v>
      </c>
      <c r="M44" s="121">
        <f t="shared" si="21"/>
        <v>0</v>
      </c>
      <c r="N44" s="121">
        <f t="shared" si="22"/>
        <v>0</v>
      </c>
      <c r="O44" s="121">
        <f t="shared" si="23"/>
        <v>0</v>
      </c>
      <c r="P44" s="121">
        <f t="shared" si="24"/>
        <v>0</v>
      </c>
      <c r="Q44" s="121">
        <f t="shared" si="25"/>
        <v>0</v>
      </c>
      <c r="R44" s="194">
        <f t="shared" si="26"/>
        <v>0</v>
      </c>
      <c r="S44" s="181"/>
      <c r="T44" s="171">
        <v>1624000</v>
      </c>
      <c r="U44" s="176">
        <f>MAX(0,IF($C$3&lt;=7,1074000,E53-650000))</f>
        <v>1074000</v>
      </c>
      <c r="V44" s="176">
        <f t="shared" ref="V44:Z44" si="41">MAX(0,IF($C$3&lt;=7,1074000,F53-650000))</f>
        <v>1074000</v>
      </c>
      <c r="W44" s="176">
        <f t="shared" si="41"/>
        <v>1074000</v>
      </c>
      <c r="X44" s="176">
        <f t="shared" si="41"/>
        <v>1074000</v>
      </c>
      <c r="Y44" s="176">
        <f t="shared" si="41"/>
        <v>1074000</v>
      </c>
      <c r="Z44" s="176">
        <f t="shared" si="41"/>
        <v>1074000</v>
      </c>
      <c r="AA44" s="204" t="s">
        <v>2</v>
      </c>
      <c r="AB44" s="173" t="s">
        <v>13</v>
      </c>
      <c r="AC44" s="171"/>
      <c r="AD44" s="169"/>
    </row>
    <row r="45" spans="3:31" ht="13.25" hidden="1" customHeight="1" x14ac:dyDescent="0.2">
      <c r="D45" s="27" t="s">
        <v>361</v>
      </c>
      <c r="E45" s="205" t="str" cm="1">
        <f t="array" ref="E45">IF(AND(OR(E18="☆擬制世帯主【旧国保】",E18="普通世帯主【擬主→国保】",E18="☆旧国保世帯員"),E43 = MAX(IF(($E$18:$J$18="☆擬制世帯主【旧国保】")+($E$18:$J$18="普通世帯主【擬主→国保】")+($E$18:$J$18="☆旧国保世帯員")&gt;0,$E$43:$J$43))),"〇","")</f>
        <v/>
      </c>
      <c r="F45" s="205" t="str" cm="1">
        <f t="array" ref="F45">IF(AND(OR(F18="☆擬制世帯主【旧国保】",F18="普通世帯主【擬主→国保】",F18="☆旧国保世帯員"),F43 = MAX(IF(($E$18:$J$18="☆擬制世帯主【旧国保】")+($E$18:$J$18="普通世帯主【擬主→国保】")+($E$18:$J$18="☆旧国保世帯員")&gt;0,$E$43:$J$43))),"〇","")</f>
        <v/>
      </c>
      <c r="G45" s="205" t="str" cm="1">
        <f t="array" ref="G45">IF(AND(OR(G18="☆擬制世帯主【旧国保】",G18="普通世帯主【擬主→国保】",G18="☆旧国保世帯員"),G43 = MAX(IF(($E$18:$J$18="☆擬制世帯主【旧国保】")+($E$18:$J$18="普通世帯主【擬主→国保】")+($E$18:$J$18="☆旧国保世帯員")&gt;0,$E$43:$J$43))),"〇","")</f>
        <v/>
      </c>
      <c r="H45" s="205" t="str" cm="1">
        <f t="array" ref="H45">IF(AND(OR(H18="☆擬制世帯主【旧国保】",H18="普通世帯主【擬主→国保】",H18="☆旧国保世帯員"),H43 = MAX(IF(($E$18:$J$18="☆擬制世帯主【旧国保】")+($E$18:$J$18="普通世帯主【擬主→国保】")+($E$18:$J$18="☆旧国保世帯員")&gt;0,$E$43:$J$43))),"〇","")</f>
        <v/>
      </c>
      <c r="I45" s="205" t="str" cm="1">
        <f t="array" ref="I45">IF(AND(OR(I18="☆擬制世帯主【旧国保】",I18="普通世帯主【擬主→国保】",I18="☆旧国保世帯員"),I43 = MAX(IF(($E$18:$J$18="☆擬制世帯主【旧国保】")+($E$18:$J$18="普通世帯主【擬主→国保】")+($E$18:$J$18="☆旧国保世帯員")&gt;0,$E$43:$J$43))),"〇","")</f>
        <v/>
      </c>
      <c r="J45" s="205" t="str" cm="1">
        <f t="array" ref="J45">IF(AND(OR(J18="☆擬制世帯主【旧国保】",J18="普通世帯主【擬主→国保】",J18="☆旧国保世帯員"),J43 = MAX(IF(($E$18:$J$18="☆擬制世帯主【旧国保】")+($E$18:$J$18="普通世帯主【擬主→国保】")+($E$18:$J$18="☆旧国保世帯員")&gt;0,$E$43:$J$43))),"〇","")</f>
        <v/>
      </c>
      <c r="K45" s="166">
        <f>DATE(($C$3+2019),2,1)</f>
        <v>46054</v>
      </c>
      <c r="L45" s="121">
        <f t="shared" si="20"/>
        <v>0</v>
      </c>
      <c r="M45" s="121">
        <f t="shared" si="21"/>
        <v>0</v>
      </c>
      <c r="N45" s="121">
        <f t="shared" si="22"/>
        <v>0</v>
      </c>
      <c r="O45" s="121">
        <f t="shared" si="23"/>
        <v>0</v>
      </c>
      <c r="P45" s="121">
        <f t="shared" si="24"/>
        <v>0</v>
      </c>
      <c r="Q45" s="121">
        <f t="shared" si="25"/>
        <v>0</v>
      </c>
      <c r="R45" s="194">
        <f t="shared" si="26"/>
        <v>0</v>
      </c>
      <c r="S45" s="122"/>
      <c r="T45" s="171">
        <v>1628000</v>
      </c>
      <c r="U45" s="176">
        <f>MAX(0,IF($C$3&lt;=7,ROUNDDOWN(E53/4,-3)*2.4+100000,E53-650000))</f>
        <v>100000</v>
      </c>
      <c r="V45" s="176">
        <f t="shared" ref="V45:Z45" si="42">MAX(0,IF($C$3&lt;=7,ROUNDDOWN(F53/4,-3)*2.4+100000,F53-650000))</f>
        <v>100000</v>
      </c>
      <c r="W45" s="176">
        <f t="shared" si="42"/>
        <v>100000</v>
      </c>
      <c r="X45" s="176">
        <f t="shared" si="42"/>
        <v>100000</v>
      </c>
      <c r="Y45" s="176">
        <f t="shared" si="42"/>
        <v>100000</v>
      </c>
      <c r="Z45" s="176">
        <f t="shared" si="42"/>
        <v>100000</v>
      </c>
      <c r="AA45" s="168" t="s">
        <v>4</v>
      </c>
      <c r="AB45" s="171" t="s">
        <v>8</v>
      </c>
      <c r="AC45" s="168"/>
      <c r="AD45" s="174"/>
    </row>
    <row r="46" spans="3:31" ht="13.25" hidden="1" customHeight="1" x14ac:dyDescent="0.2">
      <c r="C46" s="123" t="s">
        <v>86</v>
      </c>
      <c r="E46" s="199" t="str">
        <f t="shared" ref="E46:J46" si="43">IF(COUNTIF(L35:L46,1)=0,"",COUNTIF(L35:L46,1))</f>
        <v/>
      </c>
      <c r="F46" s="199" t="str">
        <f t="shared" si="43"/>
        <v/>
      </c>
      <c r="G46" s="199" t="str">
        <f t="shared" si="43"/>
        <v/>
      </c>
      <c r="H46" s="199" t="str">
        <f t="shared" si="43"/>
        <v/>
      </c>
      <c r="I46" s="199" t="str">
        <f t="shared" si="43"/>
        <v/>
      </c>
      <c r="J46" s="199" t="str">
        <f t="shared" si="43"/>
        <v/>
      </c>
      <c r="K46" s="166">
        <f>DATE(($C$3+2019),3,1)</f>
        <v>46082</v>
      </c>
      <c r="L46" s="121">
        <f t="shared" si="20"/>
        <v>0</v>
      </c>
      <c r="M46" s="121">
        <f t="shared" si="21"/>
        <v>0</v>
      </c>
      <c r="N46" s="121">
        <f t="shared" si="22"/>
        <v>0</v>
      </c>
      <c r="O46" s="121">
        <f t="shared" si="23"/>
        <v>0</v>
      </c>
      <c r="P46" s="121">
        <f t="shared" si="24"/>
        <v>0</v>
      </c>
      <c r="Q46" s="121">
        <f t="shared" si="25"/>
        <v>0</v>
      </c>
      <c r="R46" s="194">
        <f t="shared" si="26"/>
        <v>0</v>
      </c>
      <c r="S46" s="206"/>
      <c r="T46" s="171">
        <v>1800000</v>
      </c>
      <c r="U46" s="176">
        <f>MAX(0,IF($C$3&lt;=7,ROUNDDOWN(E53/4,-3)*2.8-80000,E53-650000))</f>
        <v>0</v>
      </c>
      <c r="V46" s="176">
        <f t="shared" ref="V46:Z46" si="44">MAX(0,IF($C$3&lt;=7,ROUNDDOWN(F53/4,-3)*2.8-80000,F53-650000))</f>
        <v>0</v>
      </c>
      <c r="W46" s="176">
        <f t="shared" si="44"/>
        <v>0</v>
      </c>
      <c r="X46" s="176">
        <f t="shared" si="44"/>
        <v>0</v>
      </c>
      <c r="Y46" s="176">
        <f t="shared" si="44"/>
        <v>0</v>
      </c>
      <c r="Z46" s="176">
        <f t="shared" si="44"/>
        <v>0</v>
      </c>
      <c r="AA46" s="168" t="s">
        <v>5</v>
      </c>
      <c r="AB46" s="171" t="s">
        <v>100</v>
      </c>
      <c r="AC46" s="168" t="s">
        <v>259</v>
      </c>
      <c r="AD46" s="177" t="s">
        <v>264</v>
      </c>
    </row>
    <row r="47" spans="3:31" ht="13.25" hidden="1" customHeight="1" x14ac:dyDescent="0.2">
      <c r="C47" s="123" t="s">
        <v>79</v>
      </c>
      <c r="E47" s="199" t="str">
        <f t="shared" ref="E47:J47" si="45">IF(COUNTIF(L52:L63,1)=0,"",COUNTIF(L52:L63,1))</f>
        <v/>
      </c>
      <c r="F47" s="199" t="str">
        <f t="shared" si="45"/>
        <v/>
      </c>
      <c r="G47" s="199" t="str">
        <f t="shared" si="45"/>
        <v/>
      </c>
      <c r="H47" s="199" t="str">
        <f t="shared" si="45"/>
        <v/>
      </c>
      <c r="I47" s="199" t="str">
        <f t="shared" si="45"/>
        <v/>
      </c>
      <c r="J47" s="199" t="str">
        <f t="shared" si="45"/>
        <v/>
      </c>
      <c r="K47" s="120"/>
      <c r="L47" s="207">
        <f t="shared" ref="L47:Q47" si="46">SUM(L35:L46)</f>
        <v>0</v>
      </c>
      <c r="M47" s="207">
        <f t="shared" si="46"/>
        <v>0</v>
      </c>
      <c r="N47" s="207">
        <f t="shared" si="46"/>
        <v>0</v>
      </c>
      <c r="O47" s="207">
        <f t="shared" si="46"/>
        <v>0</v>
      </c>
      <c r="P47" s="207">
        <f t="shared" si="46"/>
        <v>0</v>
      </c>
      <c r="Q47" s="207">
        <f t="shared" si="46"/>
        <v>0</v>
      </c>
      <c r="R47" s="121"/>
      <c r="S47" s="206"/>
      <c r="T47" s="171">
        <v>1900000</v>
      </c>
      <c r="U47" s="176">
        <f>MAX(0,ROUNDDOWN(E53/4,-3)*2.8-80000)</f>
        <v>0</v>
      </c>
      <c r="V47" s="176">
        <f t="shared" ref="V47:Z47" si="47">MAX(0,ROUNDDOWN(F53/4,-3)*2.8-80000)</f>
        <v>0</v>
      </c>
      <c r="W47" s="176">
        <f t="shared" si="47"/>
        <v>0</v>
      </c>
      <c r="X47" s="176">
        <f t="shared" si="47"/>
        <v>0</v>
      </c>
      <c r="Y47" s="176">
        <f t="shared" si="47"/>
        <v>0</v>
      </c>
      <c r="Z47" s="176">
        <f t="shared" si="47"/>
        <v>0</v>
      </c>
      <c r="AA47" s="168"/>
      <c r="AB47" s="171"/>
      <c r="AC47" s="168" t="s">
        <v>263</v>
      </c>
      <c r="AD47" s="169" t="s">
        <v>100</v>
      </c>
    </row>
    <row r="48" spans="3:31" ht="13.25" hidden="1" customHeight="1" x14ac:dyDescent="0.2">
      <c r="C48" s="27" t="s">
        <v>74</v>
      </c>
      <c r="D48" s="123" t="s">
        <v>414</v>
      </c>
      <c r="E48" s="198" t="str">
        <f t="shared" ref="E48:J48" si="48">IFERROR(DATE(YEAR(E33)+7,3,31),"")</f>
        <v/>
      </c>
      <c r="F48" s="198" t="str">
        <f t="shared" si="48"/>
        <v/>
      </c>
      <c r="G48" s="198" t="str">
        <f t="shared" si="48"/>
        <v/>
      </c>
      <c r="H48" s="198" t="str">
        <f t="shared" si="48"/>
        <v/>
      </c>
      <c r="I48" s="198" t="str">
        <f t="shared" si="48"/>
        <v/>
      </c>
      <c r="J48" s="198" t="str">
        <f t="shared" si="48"/>
        <v/>
      </c>
      <c r="K48" s="120"/>
      <c r="L48" s="120"/>
      <c r="M48" s="121"/>
      <c r="N48" s="121"/>
      <c r="O48" s="120"/>
      <c r="P48" s="120"/>
      <c r="Q48" s="121"/>
      <c r="R48" s="121"/>
      <c r="S48" s="122"/>
      <c r="T48" s="171">
        <v>3600000</v>
      </c>
      <c r="U48" s="176">
        <f>MAX(0,ROUNDDOWN(E53/4,-3)*3.2-440000)</f>
        <v>0</v>
      </c>
      <c r="V48" s="176">
        <f t="shared" ref="V48:Z48" si="49">MAX(0,ROUNDDOWN(F53/4,-3)*3.2-440000)</f>
        <v>0</v>
      </c>
      <c r="W48" s="176">
        <f t="shared" si="49"/>
        <v>0</v>
      </c>
      <c r="X48" s="176">
        <f t="shared" si="49"/>
        <v>0</v>
      </c>
      <c r="Y48" s="176">
        <f t="shared" si="49"/>
        <v>0</v>
      </c>
      <c r="Z48" s="176">
        <f t="shared" si="49"/>
        <v>0</v>
      </c>
      <c r="AA48" s="168" t="s">
        <v>6</v>
      </c>
      <c r="AB48" s="171" t="s">
        <v>9</v>
      </c>
      <c r="AC48" s="168" t="s">
        <v>6</v>
      </c>
      <c r="AD48" s="169" t="s">
        <v>9</v>
      </c>
    </row>
    <row r="49" spans="1:30" ht="13.25" hidden="1" customHeight="1" x14ac:dyDescent="0.2">
      <c r="C49" s="123" t="s">
        <v>63</v>
      </c>
      <c r="E49" s="208" t="str">
        <f>IF(AND(E16&lt;&gt;"",E18&lt;&gt;"",E48&gt;$C$5),"〇","")</f>
        <v/>
      </c>
      <c r="F49" s="208" t="str">
        <f t="shared" ref="F49:J49" si="50">IF(AND(F16&lt;&gt;"",F18&lt;&gt;"",F48&gt;$C$5),"〇","")</f>
        <v/>
      </c>
      <c r="G49" s="208" t="str">
        <f t="shared" si="50"/>
        <v/>
      </c>
      <c r="H49" s="208" t="str">
        <f>IF(AND(H16&lt;&gt;"",H18&lt;&gt;"",H48&gt;$C$5),"〇","")</f>
        <v/>
      </c>
      <c r="I49" s="208" t="str">
        <f t="shared" si="50"/>
        <v/>
      </c>
      <c r="J49" s="208" t="str">
        <f t="shared" si="50"/>
        <v/>
      </c>
      <c r="K49" s="120"/>
      <c r="L49" s="120"/>
      <c r="M49" s="121"/>
      <c r="N49" s="121"/>
      <c r="O49" s="120"/>
      <c r="P49" s="120"/>
      <c r="Q49" s="121"/>
      <c r="R49" s="121"/>
      <c r="S49" s="122"/>
      <c r="T49" s="169">
        <v>6600000</v>
      </c>
      <c r="U49" s="176">
        <f>MAX(0,E53*0.9-1100000)</f>
        <v>0</v>
      </c>
      <c r="V49" s="176">
        <f t="shared" ref="V49:Z49" si="51">MAX(0,F53*0.9-1100000)</f>
        <v>0</v>
      </c>
      <c r="W49" s="176">
        <f t="shared" si="51"/>
        <v>0</v>
      </c>
      <c r="X49" s="176">
        <f t="shared" si="51"/>
        <v>0</v>
      </c>
      <c r="Y49" s="176">
        <f t="shared" si="51"/>
        <v>0</v>
      </c>
      <c r="Z49" s="176">
        <f t="shared" si="51"/>
        <v>0</v>
      </c>
      <c r="AA49" s="168" t="s">
        <v>7</v>
      </c>
      <c r="AB49" s="171" t="s">
        <v>10</v>
      </c>
      <c r="AC49" s="168" t="s">
        <v>7</v>
      </c>
      <c r="AD49" s="169" t="s">
        <v>262</v>
      </c>
    </row>
    <row r="50" spans="1:30" ht="13.25" hidden="1" customHeight="1" x14ac:dyDescent="0.2">
      <c r="C50" s="123" t="s">
        <v>148</v>
      </c>
      <c r="D50" s="123" t="s">
        <v>415</v>
      </c>
      <c r="E50" s="198" t="str">
        <f>IFERROR(DATE(YEAR(E33)+19,3,31),"")</f>
        <v/>
      </c>
      <c r="F50" s="198" t="str">
        <f t="shared" ref="F50:J50" si="52">IFERROR(DATE(YEAR(F33)+19,3,31),"")</f>
        <v/>
      </c>
      <c r="G50" s="198" t="str">
        <f t="shared" si="52"/>
        <v/>
      </c>
      <c r="H50" s="198" t="str">
        <f t="shared" si="52"/>
        <v/>
      </c>
      <c r="I50" s="198" t="str">
        <f t="shared" si="52"/>
        <v/>
      </c>
      <c r="J50" s="198" t="str">
        <f t="shared" si="52"/>
        <v/>
      </c>
      <c r="K50" s="120"/>
      <c r="L50" s="120"/>
      <c r="M50" s="121"/>
      <c r="N50" s="121"/>
      <c r="O50" s="120"/>
      <c r="P50" s="120"/>
      <c r="Q50" s="121"/>
      <c r="R50" s="121"/>
      <c r="S50" s="181"/>
      <c r="T50" s="169">
        <v>8500000</v>
      </c>
      <c r="U50" s="176">
        <f>MAX(0,E53-1950000)</f>
        <v>0</v>
      </c>
      <c r="V50" s="176">
        <f t="shared" ref="V50:Z50" si="53">MAX(0,F53-1950000)</f>
        <v>0</v>
      </c>
      <c r="W50" s="176">
        <f t="shared" si="53"/>
        <v>0</v>
      </c>
      <c r="X50" s="176">
        <f t="shared" si="53"/>
        <v>0</v>
      </c>
      <c r="Y50" s="176">
        <f t="shared" si="53"/>
        <v>0</v>
      </c>
      <c r="Z50" s="176">
        <f t="shared" si="53"/>
        <v>0</v>
      </c>
      <c r="AA50" s="168" t="s">
        <v>12</v>
      </c>
      <c r="AB50" s="171" t="s">
        <v>11</v>
      </c>
      <c r="AC50" s="171" t="s">
        <v>260</v>
      </c>
      <c r="AD50" s="169" t="s">
        <v>261</v>
      </c>
    </row>
    <row r="51" spans="1:30" ht="13.25" hidden="1" customHeight="1" x14ac:dyDescent="0.2">
      <c r="C51" s="123" t="s">
        <v>149</v>
      </c>
      <c r="D51" s="123"/>
      <c r="E51" s="185" t="str">
        <f t="shared" ref="E51:J51" si="54">IF(AND(E32="〇",E50&lt;$C$5),"〇","")</f>
        <v/>
      </c>
      <c r="F51" s="185" t="str">
        <f t="shared" si="54"/>
        <v/>
      </c>
      <c r="G51" s="185" t="str">
        <f t="shared" si="54"/>
        <v/>
      </c>
      <c r="H51" s="185" t="str">
        <f t="shared" si="54"/>
        <v/>
      </c>
      <c r="I51" s="185" t="str">
        <f t="shared" si="54"/>
        <v/>
      </c>
      <c r="J51" s="185" t="str">
        <f t="shared" si="54"/>
        <v/>
      </c>
      <c r="K51" s="461" t="s">
        <v>168</v>
      </c>
      <c r="L51" s="462"/>
      <c r="M51" s="462"/>
      <c r="N51" s="121"/>
      <c r="O51" s="120"/>
      <c r="P51" s="120"/>
      <c r="Q51" s="121"/>
      <c r="R51" s="191" t="s">
        <v>108</v>
      </c>
      <c r="S51" s="122"/>
      <c r="T51" s="196"/>
      <c r="U51" s="196"/>
      <c r="V51" s="196"/>
      <c r="W51" s="196"/>
      <c r="X51" s="196"/>
      <c r="Y51" s="196"/>
      <c r="Z51" s="196"/>
      <c r="AB51" s="196"/>
      <c r="AC51" s="123"/>
    </row>
    <row r="52" spans="1:30" ht="13.25" hidden="1" customHeight="1" x14ac:dyDescent="0.2">
      <c r="E52" s="209"/>
      <c r="F52" s="209"/>
      <c r="G52" s="209"/>
      <c r="H52" s="209"/>
      <c r="I52" s="209"/>
      <c r="J52" s="209"/>
      <c r="K52" s="166">
        <f>DATE(($C$3+2018),4,1)</f>
        <v>45748</v>
      </c>
      <c r="L52" s="121">
        <f t="shared" ref="L52:Q63" si="55">IFERROR(IF(L35&gt;0,IF(OR(AND(E$20&gt;=60,E$20&lt;=63),AND(E$20=64, $K52&lt;= EOMONTH(E$39,0)),AND(E$20&gt;=40,E$20&lt;=59),AND(E$20=39, EOMONTH($K52,0)&gt;=E$37)),1,0), 0),0)</f>
        <v>0</v>
      </c>
      <c r="M52" s="121">
        <f t="shared" si="55"/>
        <v>0</v>
      </c>
      <c r="N52" s="121">
        <f t="shared" si="55"/>
        <v>0</v>
      </c>
      <c r="O52" s="121">
        <f t="shared" si="55"/>
        <v>0</v>
      </c>
      <c r="P52" s="121">
        <f t="shared" si="55"/>
        <v>0</v>
      </c>
      <c r="Q52" s="121">
        <f t="shared" si="55"/>
        <v>0</v>
      </c>
      <c r="R52" s="194">
        <f t="shared" ref="R52:R63" si="56">SUM(L52:Q52)</f>
        <v>0</v>
      </c>
      <c r="S52" s="122"/>
      <c r="T52" s="196"/>
      <c r="U52" s="196"/>
      <c r="V52" s="196"/>
      <c r="W52" s="196"/>
      <c r="X52" s="196"/>
      <c r="Y52" s="196"/>
      <c r="Z52" s="196"/>
      <c r="AB52" s="196"/>
    </row>
    <row r="53" spans="1:30" ht="13.25" hidden="1" customHeight="1" x14ac:dyDescent="0.2">
      <c r="A53" s="123"/>
      <c r="B53" s="210" t="s">
        <v>75</v>
      </c>
      <c r="C53" s="170" t="s">
        <v>78</v>
      </c>
      <c r="D53" s="159" t="s">
        <v>300</v>
      </c>
      <c r="E53" s="211">
        <f>E21</f>
        <v>0</v>
      </c>
      <c r="F53" s="211">
        <f t="shared" ref="F53:J54" si="57">F21</f>
        <v>0</v>
      </c>
      <c r="G53" s="211">
        <f>G21</f>
        <v>0</v>
      </c>
      <c r="H53" s="211">
        <f t="shared" si="57"/>
        <v>0</v>
      </c>
      <c r="I53" s="211">
        <f t="shared" si="57"/>
        <v>0</v>
      </c>
      <c r="J53" s="211">
        <f t="shared" si="57"/>
        <v>0</v>
      </c>
      <c r="K53" s="166">
        <f>DATE(($C$3+2018),5,1)</f>
        <v>45778</v>
      </c>
      <c r="L53" s="121">
        <f t="shared" si="55"/>
        <v>0</v>
      </c>
      <c r="M53" s="121">
        <f t="shared" si="55"/>
        <v>0</v>
      </c>
      <c r="N53" s="121">
        <f t="shared" si="55"/>
        <v>0</v>
      </c>
      <c r="O53" s="121">
        <f t="shared" si="55"/>
        <v>0</v>
      </c>
      <c r="P53" s="121">
        <f t="shared" si="55"/>
        <v>0</v>
      </c>
      <c r="Q53" s="121">
        <f t="shared" si="55"/>
        <v>0</v>
      </c>
      <c r="R53" s="194">
        <f t="shared" si="56"/>
        <v>0</v>
      </c>
      <c r="S53" s="184"/>
      <c r="T53" s="132" t="s">
        <v>1</v>
      </c>
      <c r="U53" s="212"/>
      <c r="W53" s="132"/>
      <c r="X53" s="132"/>
      <c r="AA53" s="132" t="s">
        <v>1</v>
      </c>
    </row>
    <row r="54" spans="1:30" ht="13.25" hidden="1" customHeight="1" x14ac:dyDescent="0.2">
      <c r="A54" s="123"/>
      <c r="C54" s="27" t="s">
        <v>34</v>
      </c>
      <c r="D54" s="27" t="s">
        <v>230</v>
      </c>
      <c r="E54" s="211">
        <f>E22</f>
        <v>0</v>
      </c>
      <c r="F54" s="211">
        <f t="shared" si="57"/>
        <v>0</v>
      </c>
      <c r="G54" s="211">
        <f>G22</f>
        <v>0</v>
      </c>
      <c r="H54" s="211">
        <f t="shared" si="57"/>
        <v>0</v>
      </c>
      <c r="I54" s="211">
        <f t="shared" si="57"/>
        <v>0</v>
      </c>
      <c r="J54" s="211">
        <f t="shared" si="57"/>
        <v>0</v>
      </c>
      <c r="K54" s="166">
        <f>DATE(($C$3+2018),6,1)</f>
        <v>45809</v>
      </c>
      <c r="L54" s="121">
        <f t="shared" si="55"/>
        <v>0</v>
      </c>
      <c r="M54" s="121">
        <f t="shared" si="55"/>
        <v>0</v>
      </c>
      <c r="N54" s="121">
        <f t="shared" si="55"/>
        <v>0</v>
      </c>
      <c r="O54" s="121">
        <f t="shared" si="55"/>
        <v>0</v>
      </c>
      <c r="P54" s="121">
        <f t="shared" si="55"/>
        <v>0</v>
      </c>
      <c r="Q54" s="121">
        <f t="shared" si="55"/>
        <v>0</v>
      </c>
      <c r="R54" s="194">
        <f t="shared" si="56"/>
        <v>0</v>
      </c>
      <c r="S54" s="184"/>
      <c r="T54" s="139" t="s">
        <v>15</v>
      </c>
      <c r="U54" s="138" t="s">
        <v>283</v>
      </c>
      <c r="V54" s="138" t="s">
        <v>286</v>
      </c>
      <c r="W54" s="138" t="s">
        <v>289</v>
      </c>
      <c r="X54" s="138" t="s">
        <v>292</v>
      </c>
      <c r="Y54" s="138" t="s">
        <v>295</v>
      </c>
      <c r="Z54" s="138" t="s">
        <v>298</v>
      </c>
      <c r="AA54" s="139" t="s">
        <v>15</v>
      </c>
      <c r="AB54" s="138" t="s">
        <v>16</v>
      </c>
    </row>
    <row r="55" spans="1:30" ht="13.25" hidden="1" customHeight="1" x14ac:dyDescent="0.2">
      <c r="A55" s="123"/>
      <c r="C55" s="27" t="s">
        <v>35</v>
      </c>
      <c r="E55" s="213">
        <f t="shared" ref="E55:J55" si="58">SUM(E53:E54)</f>
        <v>0</v>
      </c>
      <c r="F55" s="213">
        <f t="shared" si="58"/>
        <v>0</v>
      </c>
      <c r="G55" s="213">
        <f t="shared" si="58"/>
        <v>0</v>
      </c>
      <c r="H55" s="213">
        <f t="shared" si="58"/>
        <v>0</v>
      </c>
      <c r="I55" s="213">
        <f t="shared" si="58"/>
        <v>0</v>
      </c>
      <c r="J55" s="213">
        <f t="shared" si="58"/>
        <v>0</v>
      </c>
      <c r="K55" s="166">
        <f>DATE(($C$3+2018),7,1)</f>
        <v>45839</v>
      </c>
      <c r="L55" s="121">
        <f t="shared" si="55"/>
        <v>0</v>
      </c>
      <c r="M55" s="121">
        <f t="shared" si="55"/>
        <v>0</v>
      </c>
      <c r="N55" s="121">
        <f t="shared" si="55"/>
        <v>0</v>
      </c>
      <c r="O55" s="121">
        <f t="shared" si="55"/>
        <v>0</v>
      </c>
      <c r="P55" s="121">
        <f t="shared" si="55"/>
        <v>0</v>
      </c>
      <c r="Q55" s="121">
        <f t="shared" si="55"/>
        <v>0</v>
      </c>
      <c r="R55" s="194">
        <f t="shared" si="56"/>
        <v>0</v>
      </c>
      <c r="S55" s="184"/>
      <c r="T55" s="172">
        <v>0</v>
      </c>
      <c r="U55" s="176">
        <v>0</v>
      </c>
      <c r="V55" s="176">
        <v>0</v>
      </c>
      <c r="W55" s="176">
        <v>0</v>
      </c>
      <c r="X55" s="176">
        <v>0</v>
      </c>
      <c r="Y55" s="176">
        <v>0</v>
      </c>
      <c r="Z55" s="176">
        <v>0</v>
      </c>
      <c r="AA55" s="169" t="s">
        <v>17</v>
      </c>
      <c r="AB55" s="214" t="s">
        <v>23</v>
      </c>
    </row>
    <row r="56" spans="1:30" ht="13.25" hidden="1" customHeight="1" x14ac:dyDescent="0.2">
      <c r="A56" s="123"/>
      <c r="B56" s="210"/>
      <c r="C56" s="170" t="s">
        <v>92</v>
      </c>
      <c r="D56" s="170" t="s">
        <v>83</v>
      </c>
      <c r="E56" s="215">
        <f t="shared" ref="E56:J56" si="59">VLOOKUP(E$55,$T$24:$Z$35,COLUMN(B57),TRUE)</f>
        <v>0</v>
      </c>
      <c r="F56" s="215">
        <f t="shared" si="59"/>
        <v>0</v>
      </c>
      <c r="G56" s="215">
        <f t="shared" si="59"/>
        <v>0</v>
      </c>
      <c r="H56" s="215">
        <f t="shared" si="59"/>
        <v>0</v>
      </c>
      <c r="I56" s="215">
        <f t="shared" si="59"/>
        <v>0</v>
      </c>
      <c r="J56" s="215">
        <f t="shared" si="59"/>
        <v>0</v>
      </c>
      <c r="K56" s="166">
        <f>DATE(($C$3+2018),8,1)</f>
        <v>45870</v>
      </c>
      <c r="L56" s="121">
        <f t="shared" si="55"/>
        <v>0</v>
      </c>
      <c r="M56" s="121">
        <f t="shared" si="55"/>
        <v>0</v>
      </c>
      <c r="N56" s="121">
        <f t="shared" si="55"/>
        <v>0</v>
      </c>
      <c r="O56" s="121">
        <f t="shared" si="55"/>
        <v>0</v>
      </c>
      <c r="P56" s="121">
        <f t="shared" si="55"/>
        <v>0</v>
      </c>
      <c r="Q56" s="121">
        <f t="shared" si="55"/>
        <v>0</v>
      </c>
      <c r="R56" s="194">
        <f t="shared" si="56"/>
        <v>0</v>
      </c>
      <c r="S56" s="184"/>
      <c r="T56" s="172">
        <v>600001</v>
      </c>
      <c r="U56" s="176">
        <f>MAX(0,E65-600000)</f>
        <v>0</v>
      </c>
      <c r="V56" s="176">
        <f t="shared" ref="V56:Z56" si="60">MAX(0,F65-600000)</f>
        <v>0</v>
      </c>
      <c r="W56" s="176">
        <f t="shared" si="60"/>
        <v>0</v>
      </c>
      <c r="X56" s="176">
        <f t="shared" si="60"/>
        <v>0</v>
      </c>
      <c r="Y56" s="176">
        <f t="shared" si="60"/>
        <v>0</v>
      </c>
      <c r="Z56" s="176">
        <f t="shared" si="60"/>
        <v>0</v>
      </c>
      <c r="AA56" s="171" t="s">
        <v>19</v>
      </c>
      <c r="AB56" s="171" t="s">
        <v>30</v>
      </c>
    </row>
    <row r="57" spans="1:30" ht="13.25" hidden="1" customHeight="1" x14ac:dyDescent="0.2">
      <c r="C57" s="170" t="s">
        <v>92</v>
      </c>
      <c r="D57" s="170" t="s">
        <v>84</v>
      </c>
      <c r="E57" s="213">
        <f t="shared" ref="E57:J57" si="61">IF(E28="★該当",E56*0.3,E56)</f>
        <v>0</v>
      </c>
      <c r="F57" s="213">
        <f t="shared" si="61"/>
        <v>0</v>
      </c>
      <c r="G57" s="213">
        <f t="shared" si="61"/>
        <v>0</v>
      </c>
      <c r="H57" s="213">
        <f t="shared" si="61"/>
        <v>0</v>
      </c>
      <c r="I57" s="213">
        <f t="shared" si="61"/>
        <v>0</v>
      </c>
      <c r="J57" s="213">
        <f t="shared" si="61"/>
        <v>0</v>
      </c>
      <c r="K57" s="166">
        <f>DATE(($C$3+2018),9,1)</f>
        <v>45901</v>
      </c>
      <c r="L57" s="121">
        <f t="shared" si="55"/>
        <v>0</v>
      </c>
      <c r="M57" s="121">
        <f t="shared" si="55"/>
        <v>0</v>
      </c>
      <c r="N57" s="121">
        <f t="shared" si="55"/>
        <v>0</v>
      </c>
      <c r="O57" s="121">
        <f t="shared" si="55"/>
        <v>0</v>
      </c>
      <c r="P57" s="121">
        <f t="shared" si="55"/>
        <v>0</v>
      </c>
      <c r="Q57" s="121">
        <f t="shared" si="55"/>
        <v>0</v>
      </c>
      <c r="R57" s="194">
        <f t="shared" si="56"/>
        <v>0</v>
      </c>
      <c r="S57" s="184"/>
      <c r="T57" s="172">
        <v>1300000</v>
      </c>
      <c r="U57" s="176">
        <f>MAX(0,E65*0.75-275000)</f>
        <v>0</v>
      </c>
      <c r="V57" s="176">
        <f t="shared" ref="V57:Z57" si="62">MAX(0,F65*0.75-275000)</f>
        <v>0</v>
      </c>
      <c r="W57" s="176">
        <f t="shared" si="62"/>
        <v>0</v>
      </c>
      <c r="X57" s="176">
        <f t="shared" si="62"/>
        <v>0</v>
      </c>
      <c r="Y57" s="176">
        <f t="shared" si="62"/>
        <v>0</v>
      </c>
      <c r="Z57" s="176">
        <f t="shared" si="62"/>
        <v>0</v>
      </c>
      <c r="AA57" s="171" t="s">
        <v>20</v>
      </c>
      <c r="AB57" s="171" t="s">
        <v>24</v>
      </c>
    </row>
    <row r="58" spans="1:30" s="221" customFormat="1" ht="13.25" hidden="1" customHeight="1" x14ac:dyDescent="0.2">
      <c r="A58" s="216"/>
      <c r="B58" s="217"/>
      <c r="C58" s="218" t="s">
        <v>702</v>
      </c>
      <c r="D58" s="219" t="s">
        <v>104</v>
      </c>
      <c r="E58" s="220">
        <f>IF(AND(E57&gt;0,E68&gt;0),-MAX(0, (MIN(E61,100000)+MIN(E68,100000))-100000),0)</f>
        <v>0</v>
      </c>
      <c r="F58" s="220">
        <f t="shared" ref="F58:J58" si="63">IF(AND(F57&gt;0,F68&gt;0),-MAX(0, (MIN(F61,100000)+MIN(F68,100000))-100000),0)</f>
        <v>0</v>
      </c>
      <c r="G58" s="220">
        <f t="shared" si="63"/>
        <v>0</v>
      </c>
      <c r="H58" s="220">
        <f t="shared" si="63"/>
        <v>0</v>
      </c>
      <c r="I58" s="220">
        <f t="shared" si="63"/>
        <v>0</v>
      </c>
      <c r="J58" s="220">
        <f t="shared" si="63"/>
        <v>0</v>
      </c>
      <c r="K58" s="166">
        <f>DATE(($C$3+2018),10,1)</f>
        <v>45931</v>
      </c>
      <c r="L58" s="121">
        <f t="shared" si="55"/>
        <v>0</v>
      </c>
      <c r="M58" s="121">
        <f t="shared" si="55"/>
        <v>0</v>
      </c>
      <c r="N58" s="121">
        <f t="shared" si="55"/>
        <v>0</v>
      </c>
      <c r="O58" s="121">
        <f t="shared" si="55"/>
        <v>0</v>
      </c>
      <c r="P58" s="121">
        <f t="shared" si="55"/>
        <v>0</v>
      </c>
      <c r="Q58" s="121">
        <f t="shared" si="55"/>
        <v>0</v>
      </c>
      <c r="R58" s="194">
        <f t="shared" si="56"/>
        <v>0</v>
      </c>
      <c r="S58" s="184"/>
      <c r="T58" s="176">
        <v>4100000</v>
      </c>
      <c r="U58" s="176">
        <f>MAX(0,E65*0.85-685000)</f>
        <v>0</v>
      </c>
      <c r="V58" s="176">
        <f t="shared" ref="V58:Z58" si="64">MAX(0,F65*0.85-685000)</f>
        <v>0</v>
      </c>
      <c r="W58" s="176">
        <f t="shared" si="64"/>
        <v>0</v>
      </c>
      <c r="X58" s="176">
        <f t="shared" si="64"/>
        <v>0</v>
      </c>
      <c r="Y58" s="176">
        <f t="shared" si="64"/>
        <v>0</v>
      </c>
      <c r="Z58" s="176">
        <f t="shared" si="64"/>
        <v>0</v>
      </c>
      <c r="AA58" s="201" t="s">
        <v>21</v>
      </c>
      <c r="AB58" s="201" t="s">
        <v>25</v>
      </c>
      <c r="AC58" s="216"/>
      <c r="AD58" s="216"/>
    </row>
    <row r="59" spans="1:30" s="221" customFormat="1" ht="13.25" hidden="1" customHeight="1" x14ac:dyDescent="0.2">
      <c r="A59" s="27"/>
      <c r="B59" s="32"/>
      <c r="C59" s="170" t="s">
        <v>92</v>
      </c>
      <c r="D59" s="170" t="s">
        <v>314</v>
      </c>
      <c r="E59" s="222">
        <f t="shared" ref="E59:J59" si="65">E56+E58</f>
        <v>0</v>
      </c>
      <c r="F59" s="222">
        <f t="shared" si="65"/>
        <v>0</v>
      </c>
      <c r="G59" s="222">
        <f t="shared" si="65"/>
        <v>0</v>
      </c>
      <c r="H59" s="222">
        <f t="shared" si="65"/>
        <v>0</v>
      </c>
      <c r="I59" s="222">
        <f t="shared" si="65"/>
        <v>0</v>
      </c>
      <c r="J59" s="222">
        <f t="shared" si="65"/>
        <v>0</v>
      </c>
      <c r="K59" s="166">
        <f>DATE(($C$3+2018),11,1)</f>
        <v>45962</v>
      </c>
      <c r="L59" s="121">
        <f t="shared" si="55"/>
        <v>0</v>
      </c>
      <c r="M59" s="121">
        <f t="shared" si="55"/>
        <v>0</v>
      </c>
      <c r="N59" s="121">
        <f t="shared" si="55"/>
        <v>0</v>
      </c>
      <c r="O59" s="121">
        <f t="shared" si="55"/>
        <v>0</v>
      </c>
      <c r="P59" s="121">
        <f t="shared" si="55"/>
        <v>0</v>
      </c>
      <c r="Q59" s="121">
        <f t="shared" si="55"/>
        <v>0</v>
      </c>
      <c r="R59" s="194">
        <f t="shared" si="56"/>
        <v>0</v>
      </c>
      <c r="S59" s="184"/>
      <c r="T59" s="176">
        <v>7700000</v>
      </c>
      <c r="U59" s="176">
        <f>MAX(0,E65*0.95-1455000)</f>
        <v>0</v>
      </c>
      <c r="V59" s="176">
        <f t="shared" ref="V59:Z59" si="66">MAX(0,F65*0.95-1455000)</f>
        <v>0</v>
      </c>
      <c r="W59" s="176">
        <f t="shared" si="66"/>
        <v>0</v>
      </c>
      <c r="X59" s="176">
        <f t="shared" si="66"/>
        <v>0</v>
      </c>
      <c r="Y59" s="176">
        <f t="shared" si="66"/>
        <v>0</v>
      </c>
      <c r="Z59" s="176">
        <f t="shared" si="66"/>
        <v>0</v>
      </c>
      <c r="AA59" s="201" t="s">
        <v>22</v>
      </c>
      <c r="AB59" s="201" t="s">
        <v>26</v>
      </c>
      <c r="AC59" s="216"/>
      <c r="AD59" s="216"/>
    </row>
    <row r="60" spans="1:30" s="221" customFormat="1" ht="13.25" hidden="1" customHeight="1" x14ac:dyDescent="0.2">
      <c r="A60" s="27"/>
      <c r="B60" s="32"/>
      <c r="C60" s="170" t="s">
        <v>315</v>
      </c>
      <c r="D60" s="170" t="s">
        <v>306</v>
      </c>
      <c r="E60" s="223">
        <f>E57+E58</f>
        <v>0</v>
      </c>
      <c r="F60" s="223">
        <f t="shared" ref="F60:J60" si="67">F57+F58</f>
        <v>0</v>
      </c>
      <c r="G60" s="223">
        <f t="shared" si="67"/>
        <v>0</v>
      </c>
      <c r="H60" s="223">
        <f t="shared" si="67"/>
        <v>0</v>
      </c>
      <c r="I60" s="223">
        <f t="shared" si="67"/>
        <v>0</v>
      </c>
      <c r="J60" s="223">
        <f t="shared" si="67"/>
        <v>0</v>
      </c>
      <c r="K60" s="166">
        <f>DATE(($C$3+2018),12,1)</f>
        <v>45992</v>
      </c>
      <c r="L60" s="121">
        <f t="shared" si="55"/>
        <v>0</v>
      </c>
      <c r="M60" s="121">
        <f t="shared" si="55"/>
        <v>0</v>
      </c>
      <c r="N60" s="121">
        <f t="shared" si="55"/>
        <v>0</v>
      </c>
      <c r="O60" s="121">
        <f t="shared" si="55"/>
        <v>0</v>
      </c>
      <c r="P60" s="121">
        <f t="shared" si="55"/>
        <v>0</v>
      </c>
      <c r="Q60" s="121">
        <f t="shared" si="55"/>
        <v>0</v>
      </c>
      <c r="R60" s="194">
        <f t="shared" si="56"/>
        <v>0</v>
      </c>
      <c r="S60" s="184"/>
      <c r="T60" s="176">
        <v>10000000</v>
      </c>
      <c r="U60" s="176">
        <f>MAX(0,E65-1955000)</f>
        <v>0</v>
      </c>
      <c r="V60" s="176">
        <f t="shared" ref="V60:Z60" si="68">MAX(0,F65-1955000)</f>
        <v>0</v>
      </c>
      <c r="W60" s="176">
        <f t="shared" si="68"/>
        <v>0</v>
      </c>
      <c r="X60" s="176">
        <f t="shared" si="68"/>
        <v>0</v>
      </c>
      <c r="Y60" s="176">
        <f t="shared" si="68"/>
        <v>0</v>
      </c>
      <c r="Z60" s="176">
        <f t="shared" si="68"/>
        <v>0</v>
      </c>
      <c r="AA60" s="201" t="s">
        <v>18</v>
      </c>
      <c r="AB60" s="201" t="s">
        <v>27</v>
      </c>
      <c r="AC60" s="216"/>
      <c r="AD60" s="216"/>
    </row>
    <row r="61" spans="1:30" s="221" customFormat="1" ht="13.25" hidden="1" customHeight="1" x14ac:dyDescent="0.2">
      <c r="A61" s="216"/>
      <c r="B61" s="217"/>
      <c r="C61" s="216" t="s">
        <v>358</v>
      </c>
      <c r="D61" s="216" t="s">
        <v>93</v>
      </c>
      <c r="E61" s="224">
        <f t="shared" ref="E61:J61" si="69">VLOOKUP(E$53,$T$39:$Z$50,COLUMN(B61),TRUE)</f>
        <v>0</v>
      </c>
      <c r="F61" s="224">
        <f t="shared" si="69"/>
        <v>0</v>
      </c>
      <c r="G61" s="224">
        <f t="shared" si="69"/>
        <v>0</v>
      </c>
      <c r="H61" s="224">
        <f t="shared" si="69"/>
        <v>0</v>
      </c>
      <c r="I61" s="224">
        <f t="shared" si="69"/>
        <v>0</v>
      </c>
      <c r="J61" s="224">
        <f t="shared" si="69"/>
        <v>0</v>
      </c>
      <c r="K61" s="166">
        <f>DATE(($C$3+2019),1,1)</f>
        <v>46023</v>
      </c>
      <c r="L61" s="121">
        <f>IFERROR(IF(L44&gt;0,IF(OR(AND(E$20&gt;=60,E$20&lt;=63),AND(E$20=64, $K61&lt;= EOMONTH(E$39,0)),AND(E$20&gt;=40,E$20&lt;=59),AND(E$20=39, EOMONTH($K61,0)&gt;=E$37)),1,0), 0),0)</f>
        <v>0</v>
      </c>
      <c r="M61" s="121">
        <f t="shared" si="55"/>
        <v>0</v>
      </c>
      <c r="N61" s="121">
        <f t="shared" si="55"/>
        <v>0</v>
      </c>
      <c r="O61" s="121">
        <f t="shared" si="55"/>
        <v>0</v>
      </c>
      <c r="P61" s="121">
        <f t="shared" si="55"/>
        <v>0</v>
      </c>
      <c r="Q61" s="121">
        <f t="shared" si="55"/>
        <v>0</v>
      </c>
      <c r="R61" s="194">
        <f t="shared" si="56"/>
        <v>0</v>
      </c>
      <c r="S61" s="184"/>
      <c r="T61" s="225"/>
      <c r="U61" s="225"/>
      <c r="V61" s="225"/>
      <c r="W61" s="225"/>
      <c r="X61" s="225"/>
      <c r="Y61" s="225"/>
      <c r="Z61" s="225"/>
      <c r="AA61" s="216"/>
      <c r="AB61" s="225"/>
      <c r="AC61" s="216"/>
      <c r="AD61" s="216"/>
    </row>
    <row r="62" spans="1:30" s="221" customFormat="1" ht="13.25" hidden="1" customHeight="1" x14ac:dyDescent="0.2">
      <c r="A62" s="216"/>
      <c r="B62" s="217"/>
      <c r="C62" s="216" t="s">
        <v>359</v>
      </c>
      <c r="D62" s="216"/>
      <c r="E62" s="224">
        <f t="shared" ref="E62:J62" si="70">IF(E28="★該当",E61*0.3,E61)</f>
        <v>0</v>
      </c>
      <c r="F62" s="224">
        <f t="shared" si="70"/>
        <v>0</v>
      </c>
      <c r="G62" s="224">
        <f t="shared" si="70"/>
        <v>0</v>
      </c>
      <c r="H62" s="224">
        <f t="shared" si="70"/>
        <v>0</v>
      </c>
      <c r="I62" s="224">
        <f t="shared" si="70"/>
        <v>0</v>
      </c>
      <c r="J62" s="224">
        <f t="shared" si="70"/>
        <v>0</v>
      </c>
      <c r="K62" s="166">
        <f>DATE(($C$3+2019),2,1)</f>
        <v>46054</v>
      </c>
      <c r="L62" s="121">
        <f t="shared" si="55"/>
        <v>0</v>
      </c>
      <c r="M62" s="121">
        <f t="shared" si="55"/>
        <v>0</v>
      </c>
      <c r="N62" s="121">
        <f t="shared" si="55"/>
        <v>0</v>
      </c>
      <c r="O62" s="121">
        <f t="shared" si="55"/>
        <v>0</v>
      </c>
      <c r="P62" s="121">
        <f t="shared" si="55"/>
        <v>0</v>
      </c>
      <c r="Q62" s="121">
        <f t="shared" si="55"/>
        <v>0</v>
      </c>
      <c r="R62" s="194">
        <f t="shared" si="56"/>
        <v>0</v>
      </c>
      <c r="S62" s="184"/>
      <c r="T62" s="225" t="s">
        <v>0</v>
      </c>
      <c r="U62" s="226"/>
      <c r="V62" s="226"/>
      <c r="W62" s="226"/>
      <c r="X62" s="226"/>
      <c r="Y62" s="226"/>
      <c r="Z62" s="226"/>
      <c r="AA62" s="225" t="s">
        <v>1</v>
      </c>
      <c r="AB62" s="225"/>
      <c r="AC62" s="216"/>
      <c r="AD62" s="216"/>
    </row>
    <row r="63" spans="1:30" s="221" customFormat="1" ht="13.25" hidden="1" customHeight="1" x14ac:dyDescent="0.2">
      <c r="A63" s="27"/>
      <c r="B63" s="32"/>
      <c r="C63" s="170" t="s">
        <v>316</v>
      </c>
      <c r="D63" s="170" t="s">
        <v>317</v>
      </c>
      <c r="E63" s="223">
        <f>IF(E28="★該当", MAX(0,E58+E62), MAX(0,E58+E61))</f>
        <v>0</v>
      </c>
      <c r="F63" s="223">
        <f t="shared" ref="F63:J63" si="71">IF(F28="★該当", MAX(0,F58+F62), MAX(0,F58+F61))</f>
        <v>0</v>
      </c>
      <c r="G63" s="223">
        <f t="shared" si="71"/>
        <v>0</v>
      </c>
      <c r="H63" s="223">
        <f t="shared" si="71"/>
        <v>0</v>
      </c>
      <c r="I63" s="223">
        <f t="shared" si="71"/>
        <v>0</v>
      </c>
      <c r="J63" s="223">
        <f t="shared" si="71"/>
        <v>0</v>
      </c>
      <c r="K63" s="166">
        <f>DATE(($C$3+2019),3,1)</f>
        <v>46082</v>
      </c>
      <c r="L63" s="121">
        <f t="shared" si="55"/>
        <v>0</v>
      </c>
      <c r="M63" s="121">
        <f t="shared" si="55"/>
        <v>0</v>
      </c>
      <c r="N63" s="121">
        <f t="shared" si="55"/>
        <v>0</v>
      </c>
      <c r="O63" s="121">
        <f t="shared" si="55"/>
        <v>0</v>
      </c>
      <c r="P63" s="121">
        <f t="shared" si="55"/>
        <v>0</v>
      </c>
      <c r="Q63" s="121">
        <f t="shared" si="55"/>
        <v>0</v>
      </c>
      <c r="R63" s="194">
        <f t="shared" si="56"/>
        <v>0</v>
      </c>
      <c r="S63" s="184"/>
      <c r="T63" s="227" t="s">
        <v>15</v>
      </c>
      <c r="U63" s="228" t="s">
        <v>283</v>
      </c>
      <c r="V63" s="228" t="s">
        <v>286</v>
      </c>
      <c r="W63" s="228" t="s">
        <v>289</v>
      </c>
      <c r="X63" s="228" t="s">
        <v>292</v>
      </c>
      <c r="Y63" s="228" t="s">
        <v>295</v>
      </c>
      <c r="Z63" s="228" t="s">
        <v>298</v>
      </c>
      <c r="AA63" s="227" t="s">
        <v>15</v>
      </c>
      <c r="AB63" s="228" t="s">
        <v>16</v>
      </c>
      <c r="AC63" s="216"/>
      <c r="AD63" s="216"/>
    </row>
    <row r="64" spans="1:30" s="221" customFormat="1" ht="13.25" hidden="1" customHeight="1" x14ac:dyDescent="0.2">
      <c r="A64" s="216"/>
      <c r="B64" s="217"/>
      <c r="C64" s="216" t="s">
        <v>686</v>
      </c>
      <c r="D64" s="216" t="s">
        <v>703</v>
      </c>
      <c r="E64" s="205" t="str">
        <f>IF(E32&lt;&gt;"〇","",IF(E61&gt;0,"〇",""))</f>
        <v/>
      </c>
      <c r="F64" s="205" t="str">
        <f t="shared" ref="F64:J64" si="72">IF(F32&lt;&gt;"〇","",IF(F61&gt;0,"〇",""))</f>
        <v/>
      </c>
      <c r="G64" s="205" t="str">
        <f t="shared" si="72"/>
        <v/>
      </c>
      <c r="H64" s="205" t="str">
        <f t="shared" si="72"/>
        <v/>
      </c>
      <c r="I64" s="205" t="str">
        <f t="shared" si="72"/>
        <v/>
      </c>
      <c r="J64" s="205" t="str">
        <f t="shared" si="72"/>
        <v/>
      </c>
      <c r="K64" s="120"/>
      <c r="L64" s="207">
        <f t="shared" ref="L64:Q64" si="73">SUM(L52:L63)</f>
        <v>0</v>
      </c>
      <c r="M64" s="207">
        <f t="shared" si="73"/>
        <v>0</v>
      </c>
      <c r="N64" s="207">
        <f t="shared" si="73"/>
        <v>0</v>
      </c>
      <c r="O64" s="207">
        <f t="shared" si="73"/>
        <v>0</v>
      </c>
      <c r="P64" s="207">
        <f t="shared" si="73"/>
        <v>0</v>
      </c>
      <c r="Q64" s="207">
        <f t="shared" si="73"/>
        <v>0</v>
      </c>
      <c r="R64" s="121"/>
      <c r="S64" s="184"/>
      <c r="T64" s="176">
        <v>0</v>
      </c>
      <c r="U64" s="176">
        <v>0</v>
      </c>
      <c r="V64" s="176">
        <v>0</v>
      </c>
      <c r="W64" s="176">
        <v>0</v>
      </c>
      <c r="X64" s="176">
        <v>0</v>
      </c>
      <c r="Y64" s="176">
        <v>0</v>
      </c>
      <c r="Z64" s="176">
        <v>0</v>
      </c>
      <c r="AA64" s="201" t="s">
        <v>29</v>
      </c>
      <c r="AB64" s="229" t="s">
        <v>23</v>
      </c>
      <c r="AC64" s="216"/>
      <c r="AD64" s="216"/>
    </row>
    <row r="65" spans="1:30" ht="13.25" hidden="1" customHeight="1" x14ac:dyDescent="0.2">
      <c r="B65" s="210" t="s">
        <v>75</v>
      </c>
      <c r="C65" s="170" t="s">
        <v>76</v>
      </c>
      <c r="D65" s="170"/>
      <c r="E65" s="211">
        <f>E23</f>
        <v>0</v>
      </c>
      <c r="F65" s="211">
        <f t="shared" ref="F65:J65" si="74">F23</f>
        <v>0</v>
      </c>
      <c r="G65" s="211">
        <f>G23</f>
        <v>0</v>
      </c>
      <c r="H65" s="211">
        <f t="shared" si="74"/>
        <v>0</v>
      </c>
      <c r="I65" s="211">
        <f t="shared" si="74"/>
        <v>0</v>
      </c>
      <c r="J65" s="211">
        <f t="shared" si="74"/>
        <v>0</v>
      </c>
      <c r="K65" s="120"/>
      <c r="L65" s="230"/>
      <c r="M65" s="230"/>
      <c r="N65" s="230"/>
      <c r="O65" s="230"/>
      <c r="P65" s="230"/>
      <c r="Q65" s="230"/>
      <c r="R65" s="121"/>
      <c r="S65" s="184"/>
      <c r="T65" s="172">
        <v>1100001</v>
      </c>
      <c r="U65" s="176">
        <f>MAX(0,E65-1100000)</f>
        <v>0</v>
      </c>
      <c r="V65" s="176">
        <f t="shared" ref="V65:Z65" si="75">MAX(0,F65-1100000)</f>
        <v>0</v>
      </c>
      <c r="W65" s="176">
        <f t="shared" si="75"/>
        <v>0</v>
      </c>
      <c r="X65" s="176">
        <f t="shared" si="75"/>
        <v>0</v>
      </c>
      <c r="Y65" s="176">
        <f t="shared" si="75"/>
        <v>0</v>
      </c>
      <c r="Z65" s="176">
        <f t="shared" si="75"/>
        <v>0</v>
      </c>
      <c r="AA65" s="171" t="s">
        <v>33</v>
      </c>
      <c r="AB65" s="171" t="s">
        <v>31</v>
      </c>
    </row>
    <row r="66" spans="1:30" ht="13.25" hidden="1" customHeight="1" x14ac:dyDescent="0.2">
      <c r="C66" s="231" t="s">
        <v>71</v>
      </c>
      <c r="D66" s="123" t="s">
        <v>68</v>
      </c>
      <c r="E66" s="211">
        <f t="shared" ref="E66:J66" si="76">VLOOKUP(E$65,$T$55:$Z$60,COLUMN(B67),TRUE)</f>
        <v>0</v>
      </c>
      <c r="F66" s="211">
        <f t="shared" si="76"/>
        <v>0</v>
      </c>
      <c r="G66" s="211">
        <f t="shared" si="76"/>
        <v>0</v>
      </c>
      <c r="H66" s="211">
        <f t="shared" si="76"/>
        <v>0</v>
      </c>
      <c r="I66" s="211">
        <f t="shared" si="76"/>
        <v>0</v>
      </c>
      <c r="J66" s="211">
        <f t="shared" si="76"/>
        <v>0</v>
      </c>
      <c r="K66" s="120"/>
      <c r="L66" s="120"/>
      <c r="M66" s="121"/>
      <c r="N66" s="121"/>
      <c r="O66" s="120"/>
      <c r="P66" s="120"/>
      <c r="Q66" s="121"/>
      <c r="R66" s="121"/>
      <c r="S66" s="184"/>
      <c r="T66" s="172">
        <v>3300000</v>
      </c>
      <c r="U66" s="176">
        <f>MAX(0,E65*0.75-275000)</f>
        <v>0</v>
      </c>
      <c r="V66" s="176">
        <f t="shared" ref="V66:Z66" si="77">MAX(0,F65*0.75-275000)</f>
        <v>0</v>
      </c>
      <c r="W66" s="176">
        <f t="shared" si="77"/>
        <v>0</v>
      </c>
      <c r="X66" s="176">
        <f t="shared" si="77"/>
        <v>0</v>
      </c>
      <c r="Y66" s="176">
        <f t="shared" si="77"/>
        <v>0</v>
      </c>
      <c r="Z66" s="176">
        <f t="shared" si="77"/>
        <v>0</v>
      </c>
      <c r="AA66" s="171" t="s">
        <v>32</v>
      </c>
      <c r="AB66" s="171" t="s">
        <v>24</v>
      </c>
    </row>
    <row r="67" spans="1:30" ht="13.25" hidden="1" customHeight="1" x14ac:dyDescent="0.2">
      <c r="C67" s="231" t="s">
        <v>72</v>
      </c>
      <c r="D67" s="123" t="s">
        <v>69</v>
      </c>
      <c r="E67" s="211">
        <f t="shared" ref="E67:J67" si="78">VLOOKUP(E$65,$T$64:$Z$69,COLUMN(B68),TRUE)</f>
        <v>0</v>
      </c>
      <c r="F67" s="211">
        <f t="shared" si="78"/>
        <v>0</v>
      </c>
      <c r="G67" s="211">
        <f t="shared" si="78"/>
        <v>0</v>
      </c>
      <c r="H67" s="211">
        <f t="shared" si="78"/>
        <v>0</v>
      </c>
      <c r="I67" s="211">
        <f t="shared" si="78"/>
        <v>0</v>
      </c>
      <c r="J67" s="211">
        <f t="shared" si="78"/>
        <v>0</v>
      </c>
      <c r="K67" s="120"/>
      <c r="L67" s="120"/>
      <c r="M67" s="121"/>
      <c r="N67" s="121"/>
      <c r="O67" s="120"/>
      <c r="P67" s="120"/>
      <c r="Q67" s="121"/>
      <c r="R67" s="121"/>
      <c r="S67" s="122"/>
      <c r="T67" s="172">
        <v>4100000</v>
      </c>
      <c r="U67" s="176">
        <f>MAX(0,E65*0.85-685000)</f>
        <v>0</v>
      </c>
      <c r="V67" s="176">
        <f t="shared" ref="V67:Z67" si="79">MAX(0,F65*0.85-685000)</f>
        <v>0</v>
      </c>
      <c r="W67" s="176">
        <f t="shared" si="79"/>
        <v>0</v>
      </c>
      <c r="X67" s="176">
        <f t="shared" si="79"/>
        <v>0</v>
      </c>
      <c r="Y67" s="176">
        <f t="shared" si="79"/>
        <v>0</v>
      </c>
      <c r="Z67" s="176">
        <f t="shared" si="79"/>
        <v>0</v>
      </c>
      <c r="AA67" s="171" t="s">
        <v>21</v>
      </c>
      <c r="AB67" s="171" t="s">
        <v>25</v>
      </c>
    </row>
    <row r="68" spans="1:30" ht="13.25" hidden="1" customHeight="1" x14ac:dyDescent="0.2">
      <c r="C68" s="170" t="s">
        <v>363</v>
      </c>
      <c r="D68" s="232" t="s">
        <v>362</v>
      </c>
      <c r="E68" s="224">
        <f>IF(E36&lt;65,E66,E67)</f>
        <v>0</v>
      </c>
      <c r="F68" s="224">
        <f t="shared" ref="F68:J68" si="80">IF(F36&lt;65,F66,F67)</f>
        <v>0</v>
      </c>
      <c r="G68" s="224">
        <f t="shared" si="80"/>
        <v>0</v>
      </c>
      <c r="H68" s="224">
        <f t="shared" si="80"/>
        <v>0</v>
      </c>
      <c r="I68" s="224">
        <f t="shared" si="80"/>
        <v>0</v>
      </c>
      <c r="J68" s="211">
        <f t="shared" si="80"/>
        <v>0</v>
      </c>
      <c r="K68" s="461" t="s">
        <v>181</v>
      </c>
      <c r="L68" s="462"/>
      <c r="M68" s="462"/>
      <c r="N68" s="121"/>
      <c r="O68" s="120"/>
      <c r="P68" s="120"/>
      <c r="Q68" s="121"/>
      <c r="R68" s="121"/>
      <c r="S68" s="122"/>
      <c r="T68" s="172">
        <v>7700000</v>
      </c>
      <c r="U68" s="176">
        <f>MAX(0,E65*0.95-1455000)</f>
        <v>0</v>
      </c>
      <c r="V68" s="176">
        <f t="shared" ref="V68:Z68" si="81">MAX(0,F65*0.95-1455000)</f>
        <v>0</v>
      </c>
      <c r="W68" s="176">
        <f t="shared" si="81"/>
        <v>0</v>
      </c>
      <c r="X68" s="176">
        <f t="shared" si="81"/>
        <v>0</v>
      </c>
      <c r="Y68" s="176">
        <f t="shared" si="81"/>
        <v>0</v>
      </c>
      <c r="Z68" s="176">
        <f t="shared" si="81"/>
        <v>0</v>
      </c>
      <c r="AA68" s="171" t="s">
        <v>22</v>
      </c>
      <c r="AB68" s="171" t="s">
        <v>26</v>
      </c>
    </row>
    <row r="69" spans="1:30" ht="13.25" hidden="1" customHeight="1" x14ac:dyDescent="0.2">
      <c r="C69" s="119" t="s">
        <v>413</v>
      </c>
      <c r="D69" s="154">
        <f>D36</f>
        <v>45658</v>
      </c>
      <c r="E69" s="233">
        <f>IFERROR(IF(E36="",0,IF(E36&gt;=65,-150000,0)),0)</f>
        <v>0</v>
      </c>
      <c r="F69" s="233">
        <f t="shared" ref="F69:J69" si="82">IFERROR(IF(F36="",0,IF(F36&gt;=65,-150000,0)),0)</f>
        <v>0</v>
      </c>
      <c r="G69" s="233">
        <f t="shared" si="82"/>
        <v>0</v>
      </c>
      <c r="H69" s="233">
        <f t="shared" si="82"/>
        <v>0</v>
      </c>
      <c r="I69" s="233">
        <f t="shared" si="82"/>
        <v>0</v>
      </c>
      <c r="J69" s="233">
        <f t="shared" si="82"/>
        <v>0</v>
      </c>
      <c r="K69" s="166">
        <f>DATE(($C$3+2018),4,1)</f>
        <v>45748</v>
      </c>
      <c r="L69" s="121">
        <f t="shared" ref="L69:Q80" si="83">IF(OR(E$30="",E$31=""),0,IF(AND(L35=1,OR(AND(E$31="単胎",$K35&gt;=EOMONTH(E$30,-2)+1,$K35&lt;=EOMONTH(E$30,2)),AND(E$31="多胎",$K35&gt;=EOMONTH(E$30,-4)+1,$K35&lt;=EOMONTH(E$30,2)))),1,0))</f>
        <v>0</v>
      </c>
      <c r="M69" s="121">
        <f t="shared" si="83"/>
        <v>0</v>
      </c>
      <c r="N69" s="121">
        <f t="shared" si="83"/>
        <v>0</v>
      </c>
      <c r="O69" s="121">
        <f t="shared" si="83"/>
        <v>0</v>
      </c>
      <c r="P69" s="121">
        <f t="shared" si="83"/>
        <v>0</v>
      </c>
      <c r="Q69" s="121">
        <f t="shared" si="83"/>
        <v>0</v>
      </c>
      <c r="R69" s="121"/>
      <c r="S69" s="122"/>
      <c r="T69" s="172">
        <v>10000000</v>
      </c>
      <c r="U69" s="176">
        <f>MAX(0,E65-1955000)</f>
        <v>0</v>
      </c>
      <c r="V69" s="176">
        <f t="shared" ref="V69:Z69" si="84">MAX(0,F65-1955000)</f>
        <v>0</v>
      </c>
      <c r="W69" s="176">
        <f t="shared" si="84"/>
        <v>0</v>
      </c>
      <c r="X69" s="176">
        <f t="shared" si="84"/>
        <v>0</v>
      </c>
      <c r="Y69" s="176">
        <f t="shared" si="84"/>
        <v>0</v>
      </c>
      <c r="Z69" s="176">
        <f t="shared" si="84"/>
        <v>0</v>
      </c>
      <c r="AA69" s="171" t="s">
        <v>18</v>
      </c>
      <c r="AB69" s="171" t="s">
        <v>28</v>
      </c>
      <c r="AC69" s="123"/>
    </row>
    <row r="70" spans="1:30" ht="13.25" hidden="1" customHeight="1" x14ac:dyDescent="0.2">
      <c r="C70" s="170" t="s">
        <v>70</v>
      </c>
      <c r="D70" s="232" t="s">
        <v>412</v>
      </c>
      <c r="E70" s="222">
        <f>MAX(0, E68+E69)</f>
        <v>0</v>
      </c>
      <c r="F70" s="222">
        <f>MAX(0, F68+F69)</f>
        <v>0</v>
      </c>
      <c r="G70" s="222">
        <f t="shared" ref="G70:I70" si="85">MAX(0, G68+G69)</f>
        <v>0</v>
      </c>
      <c r="H70" s="222">
        <f t="shared" si="85"/>
        <v>0</v>
      </c>
      <c r="I70" s="222">
        <f t="shared" si="85"/>
        <v>0</v>
      </c>
      <c r="J70" s="234">
        <f t="shared" ref="J70" si="86">IF(J68+J69&lt;0,0,J68+J69)</f>
        <v>0</v>
      </c>
      <c r="K70" s="166">
        <f>DATE(($C$3+2018),5,1)</f>
        <v>45778</v>
      </c>
      <c r="L70" s="121">
        <f t="shared" si="83"/>
        <v>0</v>
      </c>
      <c r="M70" s="121">
        <f t="shared" si="83"/>
        <v>0</v>
      </c>
      <c r="N70" s="121">
        <f t="shared" si="83"/>
        <v>0</v>
      </c>
      <c r="O70" s="121">
        <f t="shared" si="83"/>
        <v>0</v>
      </c>
      <c r="P70" s="121">
        <f t="shared" si="83"/>
        <v>0</v>
      </c>
      <c r="Q70" s="121">
        <f t="shared" si="83"/>
        <v>0</v>
      </c>
      <c r="R70" s="121"/>
      <c r="S70" s="122"/>
      <c r="T70" s="132"/>
      <c r="U70" s="132"/>
      <c r="X70" s="132"/>
    </row>
    <row r="71" spans="1:30" ht="13.25" hidden="1" customHeight="1" x14ac:dyDescent="0.2">
      <c r="C71" s="27" t="s">
        <v>313</v>
      </c>
      <c r="D71" s="154"/>
      <c r="E71" s="205" t="str">
        <f>IF(E32&lt;&gt;"〇","",IF(E34&lt;65,IF(MAX(0,E68)&gt;0,"〇",""),IF(MAX(0,E68-150000)&gt;0,"〇","")))</f>
        <v/>
      </c>
      <c r="F71" s="205" t="str">
        <f t="shared" ref="F71:I71" si="87">IF(F32&lt;&gt;"〇","",IF(F34&lt;65,IF(MAX(0,F68)&gt;0,"〇",""),IF(MAX(0,F68-150000)&gt;0,"〇","")))</f>
        <v/>
      </c>
      <c r="G71" s="205" t="str">
        <f t="shared" si="87"/>
        <v/>
      </c>
      <c r="H71" s="205" t="str">
        <f t="shared" si="87"/>
        <v/>
      </c>
      <c r="I71" s="205" t="str">
        <f t="shared" si="87"/>
        <v/>
      </c>
      <c r="J71" s="185" t="str">
        <f t="shared" ref="J71" si="88">IF(J32&lt;&gt;"〇","",IF(AND(J34&lt;65,J68&gt;0),"〇",IF(AND(J34&gt;=65,J68-150000&gt;0),"〇","")))</f>
        <v/>
      </c>
      <c r="K71" s="166">
        <f>DATE(($C$3+2018),6,1)</f>
        <v>45809</v>
      </c>
      <c r="L71" s="121">
        <f t="shared" si="83"/>
        <v>0</v>
      </c>
      <c r="M71" s="121">
        <f t="shared" si="83"/>
        <v>0</v>
      </c>
      <c r="N71" s="121">
        <f t="shared" si="83"/>
        <v>0</v>
      </c>
      <c r="O71" s="121">
        <f t="shared" si="83"/>
        <v>0</v>
      </c>
      <c r="P71" s="121">
        <f t="shared" si="83"/>
        <v>0</v>
      </c>
      <c r="Q71" s="121">
        <f t="shared" si="83"/>
        <v>0</v>
      </c>
      <c r="R71" s="121"/>
      <c r="S71" s="122"/>
      <c r="T71" s="132"/>
      <c r="U71" s="132"/>
      <c r="X71" s="132"/>
    </row>
    <row r="72" spans="1:30" ht="13.25" hidden="1" customHeight="1" x14ac:dyDescent="0.2">
      <c r="A72" s="123"/>
      <c r="B72" s="210" t="s">
        <v>75</v>
      </c>
      <c r="C72" s="170" t="s">
        <v>55</v>
      </c>
      <c r="D72" s="170" t="s">
        <v>563</v>
      </c>
      <c r="E72" s="222">
        <f>E24</f>
        <v>0</v>
      </c>
      <c r="F72" s="222">
        <f t="shared" ref="F72:I72" si="89">F24</f>
        <v>0</v>
      </c>
      <c r="G72" s="222">
        <f t="shared" si="89"/>
        <v>0</v>
      </c>
      <c r="H72" s="222">
        <f t="shared" si="89"/>
        <v>0</v>
      </c>
      <c r="I72" s="222">
        <f t="shared" si="89"/>
        <v>0</v>
      </c>
      <c r="J72" s="235">
        <f t="shared" ref="J72" si="90">IF(J24&lt;0,0,J24)</f>
        <v>0</v>
      </c>
      <c r="K72" s="166">
        <f>DATE(($C$3+2018),7,1)</f>
        <v>45839</v>
      </c>
      <c r="L72" s="121">
        <f t="shared" si="83"/>
        <v>0</v>
      </c>
      <c r="M72" s="121">
        <f t="shared" si="83"/>
        <v>0</v>
      </c>
      <c r="N72" s="121">
        <f t="shared" si="83"/>
        <v>0</v>
      </c>
      <c r="O72" s="121">
        <f t="shared" si="83"/>
        <v>0</v>
      </c>
      <c r="P72" s="121">
        <f t="shared" si="83"/>
        <v>0</v>
      </c>
      <c r="Q72" s="121">
        <f t="shared" si="83"/>
        <v>0</v>
      </c>
      <c r="R72" s="121"/>
      <c r="S72" s="122"/>
      <c r="T72" s="236">
        <f>C3</f>
        <v>7</v>
      </c>
      <c r="U72" s="128" t="s">
        <v>36</v>
      </c>
      <c r="V72" s="128"/>
      <c r="X72" s="132"/>
      <c r="Z72" s="237"/>
      <c r="AC72" s="123"/>
    </row>
    <row r="73" spans="1:30" ht="13.25" hidden="1" customHeight="1" x14ac:dyDescent="0.2">
      <c r="A73" s="123"/>
      <c r="B73" s="210"/>
      <c r="C73" s="170" t="s">
        <v>307</v>
      </c>
      <c r="D73" s="170" t="s">
        <v>564</v>
      </c>
      <c r="E73" s="222">
        <f>E24+E25</f>
        <v>0</v>
      </c>
      <c r="F73" s="222">
        <f t="shared" ref="F73:I73" si="91">F24+F25</f>
        <v>0</v>
      </c>
      <c r="G73" s="222">
        <f t="shared" si="91"/>
        <v>0</v>
      </c>
      <c r="H73" s="222">
        <f t="shared" si="91"/>
        <v>0</v>
      </c>
      <c r="I73" s="222">
        <f t="shared" si="91"/>
        <v>0</v>
      </c>
      <c r="J73" s="235">
        <f t="shared" ref="J73" si="92">J24+J25</f>
        <v>0</v>
      </c>
      <c r="K73" s="166">
        <f>DATE(($C$3+2018),8,1)</f>
        <v>45870</v>
      </c>
      <c r="L73" s="121">
        <f t="shared" si="83"/>
        <v>0</v>
      </c>
      <c r="M73" s="121">
        <f t="shared" si="83"/>
        <v>0</v>
      </c>
      <c r="N73" s="121">
        <f t="shared" si="83"/>
        <v>0</v>
      </c>
      <c r="O73" s="121">
        <f t="shared" si="83"/>
        <v>0</v>
      </c>
      <c r="P73" s="121">
        <f t="shared" si="83"/>
        <v>0</v>
      </c>
      <c r="Q73" s="121">
        <f t="shared" si="83"/>
        <v>0</v>
      </c>
      <c r="R73" s="121"/>
      <c r="S73" s="122"/>
      <c r="T73" s="146" t="s">
        <v>96</v>
      </c>
      <c r="U73" s="238" t="s">
        <v>37</v>
      </c>
      <c r="V73" s="238" t="s">
        <v>99</v>
      </c>
      <c r="W73" s="239" t="s">
        <v>226</v>
      </c>
      <c r="X73" s="240" t="s">
        <v>38</v>
      </c>
      <c r="Y73" s="241"/>
      <c r="Z73" s="123"/>
    </row>
    <row r="74" spans="1:30" ht="13.25" hidden="1" customHeight="1" x14ac:dyDescent="0.2">
      <c r="B74" s="210"/>
      <c r="C74" s="170" t="s">
        <v>327</v>
      </c>
      <c r="D74" s="170"/>
      <c r="E74" s="222">
        <f>MAX(0,IF(E28&lt;&gt;"★該当",SUM(E59,E68,E72),SUM(E60,E68,E72)))</f>
        <v>0</v>
      </c>
      <c r="F74" s="222">
        <f t="shared" ref="F74:J74" si="93">MAX(0,IF(F28&lt;&gt;"★該当",SUM(F59,F68,F72),SUM(F60,F68,F72)))</f>
        <v>0</v>
      </c>
      <c r="G74" s="222">
        <f t="shared" si="93"/>
        <v>0</v>
      </c>
      <c r="H74" s="222">
        <f t="shared" si="93"/>
        <v>0</v>
      </c>
      <c r="I74" s="222">
        <f t="shared" si="93"/>
        <v>0</v>
      </c>
      <c r="J74" s="222">
        <f t="shared" si="93"/>
        <v>0</v>
      </c>
      <c r="K74" s="166">
        <f>DATE(($C$3+2018),9,1)</f>
        <v>45901</v>
      </c>
      <c r="L74" s="121">
        <f t="shared" si="83"/>
        <v>0</v>
      </c>
      <c r="M74" s="121">
        <f t="shared" si="83"/>
        <v>0</v>
      </c>
      <c r="N74" s="121">
        <f t="shared" si="83"/>
        <v>0</v>
      </c>
      <c r="O74" s="121">
        <f t="shared" si="83"/>
        <v>0</v>
      </c>
      <c r="P74" s="121">
        <f t="shared" si="83"/>
        <v>0</v>
      </c>
      <c r="Q74" s="121">
        <f t="shared" si="83"/>
        <v>0</v>
      </c>
      <c r="R74" s="121"/>
      <c r="S74" s="122"/>
      <c r="T74" s="242">
        <f>HLOOKUP($C$3,$V$85:$AD$102,2,FALSE)</f>
        <v>7.1999999999999995E-2</v>
      </c>
      <c r="U74" s="242">
        <f>HLOOKUP($C$3,$V$85:$AD$102,6,FALSE)</f>
        <v>2.8000000000000001E-2</v>
      </c>
      <c r="V74" s="242">
        <f>HLOOKUP($C$3,$V$85:$AD$102,10,FALSE)</f>
        <v>0.03</v>
      </c>
      <c r="W74" s="242">
        <f>HLOOKUP($C$3,$V$85:$AD$102,14,FALSE)</f>
        <v>0</v>
      </c>
      <c r="X74" s="243">
        <f>SUM(T74:W74)</f>
        <v>0.13</v>
      </c>
      <c r="Y74" s="132"/>
    </row>
    <row r="75" spans="1:30" ht="13.25" hidden="1" customHeight="1" x14ac:dyDescent="0.2">
      <c r="B75" s="210" t="s">
        <v>75</v>
      </c>
      <c r="C75" s="170" t="s">
        <v>318</v>
      </c>
      <c r="D75" s="170" t="s">
        <v>319</v>
      </c>
      <c r="E75" s="224">
        <f>MAX(0,SUM(E60,E68,E72)-430000)</f>
        <v>0</v>
      </c>
      <c r="F75" s="224">
        <f t="shared" ref="F75:I75" si="94">MAX(0,SUM(F60,F68,F72)-430000)</f>
        <v>0</v>
      </c>
      <c r="G75" s="224">
        <f t="shared" si="94"/>
        <v>0</v>
      </c>
      <c r="H75" s="224">
        <f t="shared" si="94"/>
        <v>0</v>
      </c>
      <c r="I75" s="224">
        <f t="shared" si="94"/>
        <v>0</v>
      </c>
      <c r="J75" s="244">
        <f t="shared" ref="J75" si="95">IF(SUM(J60,J68,J72)-430000&lt;0,0,SUM(J60,J68,J72)-430000)</f>
        <v>0</v>
      </c>
      <c r="K75" s="166">
        <f>DATE(($C$3+2018),10,1)</f>
        <v>45931</v>
      </c>
      <c r="L75" s="121">
        <f t="shared" si="83"/>
        <v>0</v>
      </c>
      <c r="M75" s="121">
        <f t="shared" si="83"/>
        <v>0</v>
      </c>
      <c r="N75" s="121">
        <f t="shared" si="83"/>
        <v>0</v>
      </c>
      <c r="O75" s="121">
        <f t="shared" si="83"/>
        <v>0</v>
      </c>
      <c r="P75" s="121">
        <f t="shared" si="83"/>
        <v>0</v>
      </c>
      <c r="Q75" s="121">
        <f t="shared" si="83"/>
        <v>0</v>
      </c>
      <c r="R75" s="121"/>
      <c r="S75" s="122"/>
      <c r="T75" s="245" t="s">
        <v>39</v>
      </c>
      <c r="U75" s="245" t="s">
        <v>39</v>
      </c>
      <c r="V75" s="245" t="s">
        <v>39</v>
      </c>
      <c r="W75" s="245" t="s">
        <v>39</v>
      </c>
      <c r="X75" s="246" t="s">
        <v>39</v>
      </c>
      <c r="Y75" s="132"/>
    </row>
    <row r="76" spans="1:30" ht="13.25" hidden="1" customHeight="1" x14ac:dyDescent="0.2">
      <c r="B76" s="210"/>
      <c r="C76" s="247" t="s">
        <v>326</v>
      </c>
      <c r="D76" s="248" t="s">
        <v>332</v>
      </c>
      <c r="E76" s="205" t="str" cm="1">
        <f t="array" ref="E76">IF(AND(E32="〇",DATE(YEAR(E15),MONTH(E15),1)=MIN(IF($E32:$J32="〇", DATE(YEAR($E15:$J15),MONTH($E15:$J15),1)))),"〇","")</f>
        <v/>
      </c>
      <c r="F76" s="205" t="str" cm="1">
        <f t="array" ref="F76">IF(AND(F32="〇",DATE(YEAR(F15),MONTH(F15),1)=MIN(IF($E32:$J32="〇", DATE(YEAR($E15:$J15),MONTH($E15:$J15),1)))),"〇","")</f>
        <v/>
      </c>
      <c r="G76" s="205" t="str" cm="1">
        <f t="array" ref="G76">IF(AND(G32="〇",DATE(YEAR(G15),MONTH(G15),1)=MIN(IF($E32:$J32="〇", DATE(YEAR($E15:$J15),MONTH($E15:$J15),1)))),"〇","")</f>
        <v/>
      </c>
      <c r="H76" s="205" t="str" cm="1">
        <f t="array" ref="H76">IF(AND(H32="〇",DATE(YEAR(H15),MONTH(H15),1)=MIN(IF($E32:$J32="〇", DATE(YEAR($E15:$J15),MONTH($E15:$J15),1)))),"〇","")</f>
        <v/>
      </c>
      <c r="I76" s="205" t="str" cm="1">
        <f t="array" ref="I76">IF(AND(I32="〇",DATE(YEAR(I15),MONTH(I15),1)=MIN(IF($E32:$J32="〇", DATE(YEAR($E15:$J15),MONTH($E15:$J15),1)))),"〇","")</f>
        <v/>
      </c>
      <c r="J76" s="205" t="str" cm="1">
        <f t="array" ref="J76">IF(AND(J32="〇",DATE(YEAR(J15),MONTH(J15),1)=MIN(IF($E32:$J32="〇", DATE(YEAR($E15:$J15),MONTH($E15:$J15),1)))),"〇","")</f>
        <v/>
      </c>
      <c r="K76" s="166">
        <f>DATE(($C$3+2018),11,1)</f>
        <v>45962</v>
      </c>
      <c r="L76" s="121">
        <f t="shared" si="83"/>
        <v>0</v>
      </c>
      <c r="M76" s="121">
        <f t="shared" si="83"/>
        <v>0</v>
      </c>
      <c r="N76" s="121">
        <f t="shared" si="83"/>
        <v>0</v>
      </c>
      <c r="O76" s="121">
        <f t="shared" si="83"/>
        <v>0</v>
      </c>
      <c r="P76" s="121">
        <f t="shared" si="83"/>
        <v>0</v>
      </c>
      <c r="Q76" s="121">
        <f t="shared" si="83"/>
        <v>0</v>
      </c>
      <c r="R76" s="121"/>
      <c r="S76" s="122"/>
      <c r="T76" s="249">
        <f>HLOOKUP($C$3,$V$85:$AD$102,3,FALSE)</f>
        <v>27000</v>
      </c>
      <c r="U76" s="249">
        <f>HLOOKUP($C$3,$V$85:$AD$102,7,FALSE)</f>
        <v>9600</v>
      </c>
      <c r="V76" s="249">
        <f>HLOOKUP($C$3,$V$85:$AD$102,11,FALSE)</f>
        <v>11000</v>
      </c>
      <c r="W76" s="249">
        <f>HLOOKUP($C$3,$V$85:$AD$102,15,FALSE)</f>
        <v>0</v>
      </c>
      <c r="X76" s="250">
        <f>SUM(T76:W76)</f>
        <v>47600</v>
      </c>
      <c r="Y76" s="241"/>
      <c r="Z76" s="123"/>
    </row>
    <row r="77" spans="1:30" ht="13.25" hidden="1" customHeight="1" x14ac:dyDescent="0.2">
      <c r="B77" s="210"/>
      <c r="C77" s="119" t="s">
        <v>320</v>
      </c>
      <c r="D77" s="248" t="s">
        <v>198</v>
      </c>
      <c r="E77" s="185" t="str">
        <f t="shared" ref="E77:J77" si="96">IF(AND(OR(E$76= "〇",E$18 = "普通世帯主【擬主→国保】" ),OR(E$64="〇", E$71="〇")),"〇", "")</f>
        <v/>
      </c>
      <c r="F77" s="185" t="str">
        <f t="shared" si="96"/>
        <v/>
      </c>
      <c r="G77" s="185" t="str">
        <f t="shared" si="96"/>
        <v/>
      </c>
      <c r="H77" s="185" t="str">
        <f>IF(AND(OR(H$76= "〇",H$18 = "普通世帯主【擬主→国保】" ),OR(H$64="〇", H$71="〇")),"〇", "")</f>
        <v/>
      </c>
      <c r="I77" s="185" t="str">
        <f t="shared" si="96"/>
        <v/>
      </c>
      <c r="J77" s="185" t="str">
        <f t="shared" si="96"/>
        <v/>
      </c>
      <c r="K77" s="166">
        <f>DATE(($C$3+2018),12,1)</f>
        <v>45992</v>
      </c>
      <c r="L77" s="121">
        <f t="shared" si="83"/>
        <v>0</v>
      </c>
      <c r="M77" s="121">
        <f t="shared" si="83"/>
        <v>0</v>
      </c>
      <c r="N77" s="121">
        <f t="shared" si="83"/>
        <v>0</v>
      </c>
      <c r="O77" s="121">
        <f t="shared" si="83"/>
        <v>0</v>
      </c>
      <c r="P77" s="121">
        <f t="shared" si="83"/>
        <v>0</v>
      </c>
      <c r="Q77" s="121">
        <f t="shared" si="83"/>
        <v>0</v>
      </c>
      <c r="R77" s="121"/>
      <c r="S77" s="122"/>
      <c r="T77" s="245" t="s">
        <v>160</v>
      </c>
      <c r="U77" s="245" t="s">
        <v>160</v>
      </c>
      <c r="V77" s="245" t="s">
        <v>160</v>
      </c>
      <c r="W77" s="245" t="s">
        <v>160</v>
      </c>
      <c r="X77" s="246" t="s">
        <v>160</v>
      </c>
      <c r="Y77" s="241"/>
      <c r="Z77" s="123"/>
      <c r="AA77" s="123"/>
      <c r="AB77" s="123"/>
    </row>
    <row r="78" spans="1:30" s="221" customFormat="1" ht="13.25" hidden="1" customHeight="1" x14ac:dyDescent="0.2">
      <c r="A78" s="216"/>
      <c r="B78" s="217" t="s">
        <v>75</v>
      </c>
      <c r="C78" s="170" t="s">
        <v>73</v>
      </c>
      <c r="D78" s="170" t="s">
        <v>701</v>
      </c>
      <c r="E78" s="222">
        <f>MAX(0,IF(E70&lt;100000,SUM(E63,MAX(E70-E58,0),E73)),SUM(E63,E70,E73))</f>
        <v>0</v>
      </c>
      <c r="F78" s="222">
        <f t="shared" ref="F78:J78" si="97">MAX(0,IF(F70&lt;100000,SUM(F63,MAX(F70-F58,0),F73)),SUM(F63,F70,F73))</f>
        <v>0</v>
      </c>
      <c r="G78" s="222">
        <f t="shared" si="97"/>
        <v>0</v>
      </c>
      <c r="H78" s="222">
        <f t="shared" si="97"/>
        <v>0</v>
      </c>
      <c r="I78" s="222">
        <f t="shared" si="97"/>
        <v>0</v>
      </c>
      <c r="J78" s="222">
        <f t="shared" si="97"/>
        <v>0</v>
      </c>
      <c r="K78" s="166">
        <f>DATE(($C$3+2019),1,1)</f>
        <v>46023</v>
      </c>
      <c r="L78" s="121">
        <f t="shared" si="83"/>
        <v>0</v>
      </c>
      <c r="M78" s="121">
        <f t="shared" si="83"/>
        <v>0</v>
      </c>
      <c r="N78" s="121">
        <f t="shared" si="83"/>
        <v>0</v>
      </c>
      <c r="O78" s="121">
        <f t="shared" si="83"/>
        <v>0</v>
      </c>
      <c r="P78" s="121">
        <f t="shared" si="83"/>
        <v>0</v>
      </c>
      <c r="Q78" s="121">
        <f t="shared" si="83"/>
        <v>0</v>
      </c>
      <c r="R78" s="121"/>
      <c r="S78" s="122"/>
      <c r="T78" s="249"/>
      <c r="U78" s="249"/>
      <c r="V78" s="249"/>
      <c r="W78" s="249">
        <f>HLOOKUP($C$3,$V$85:$AD$102,16,FALSE)</f>
        <v>0</v>
      </c>
      <c r="X78" s="250">
        <f>SUM(T78:W78)</f>
        <v>0</v>
      </c>
      <c r="Y78" s="225"/>
      <c r="Z78" s="216"/>
      <c r="AA78" s="216"/>
      <c r="AB78" s="216"/>
      <c r="AC78" s="216"/>
      <c r="AD78" s="216"/>
    </row>
    <row r="79" spans="1:30" ht="13.25" hidden="1" customHeight="1" x14ac:dyDescent="0.2">
      <c r="B79" s="210"/>
      <c r="C79" s="123"/>
      <c r="D79" s="123"/>
      <c r="E79" s="213"/>
      <c r="F79" s="213"/>
      <c r="G79" s="213"/>
      <c r="H79" s="213"/>
      <c r="I79" s="213"/>
      <c r="J79" s="213"/>
      <c r="K79" s="166">
        <f>DATE(($C$3+2019),2,1)</f>
        <v>46054</v>
      </c>
      <c r="L79" s="121">
        <f t="shared" si="83"/>
        <v>0</v>
      </c>
      <c r="M79" s="121">
        <f t="shared" si="83"/>
        <v>0</v>
      </c>
      <c r="N79" s="121">
        <f t="shared" si="83"/>
        <v>0</v>
      </c>
      <c r="O79" s="121">
        <f t="shared" si="83"/>
        <v>0</v>
      </c>
      <c r="P79" s="121">
        <f t="shared" si="83"/>
        <v>0</v>
      </c>
      <c r="Q79" s="121">
        <f t="shared" si="83"/>
        <v>0</v>
      </c>
      <c r="R79" s="121"/>
      <c r="S79" s="122"/>
      <c r="T79" s="245" t="s">
        <v>40</v>
      </c>
      <c r="U79" s="245" t="s">
        <v>40</v>
      </c>
      <c r="V79" s="245" t="s">
        <v>40</v>
      </c>
      <c r="W79" s="245" t="s">
        <v>40</v>
      </c>
      <c r="X79" s="246" t="s">
        <v>40</v>
      </c>
      <c r="Y79" s="132"/>
    </row>
    <row r="80" spans="1:30" ht="13.25" hidden="1" customHeight="1" x14ac:dyDescent="0.2">
      <c r="B80" s="210"/>
      <c r="C80" s="27" t="s">
        <v>60</v>
      </c>
      <c r="E80" s="251"/>
      <c r="F80" s="251"/>
      <c r="G80" s="251"/>
      <c r="H80" s="251"/>
      <c r="I80" s="251"/>
      <c r="J80" s="251"/>
      <c r="K80" s="166">
        <f>DATE(($C$3+2019),3,1)</f>
        <v>46082</v>
      </c>
      <c r="L80" s="121">
        <f t="shared" si="83"/>
        <v>0</v>
      </c>
      <c r="M80" s="121">
        <f t="shared" si="83"/>
        <v>0</v>
      </c>
      <c r="N80" s="121">
        <f t="shared" si="83"/>
        <v>0</v>
      </c>
      <c r="O80" s="121">
        <f t="shared" si="83"/>
        <v>0</v>
      </c>
      <c r="P80" s="121">
        <f t="shared" si="83"/>
        <v>0</v>
      </c>
      <c r="Q80" s="121">
        <f t="shared" si="83"/>
        <v>0</v>
      </c>
      <c r="R80" s="121"/>
      <c r="S80" s="122"/>
      <c r="T80" s="249">
        <f>HLOOKUP($C$3,$V$85:$AD$102,4,FALSE)</f>
        <v>16200</v>
      </c>
      <c r="U80" s="249">
        <f>HLOOKUP($C$3,$V$85:$AD$102,8,FALSE)</f>
        <v>6000</v>
      </c>
      <c r="V80" s="249">
        <f>HLOOKUP($C$3,$V$85:$AD$102,12,FALSE)</f>
        <v>6400</v>
      </c>
      <c r="W80" s="249">
        <f>HLOOKUP($C$3,$V$85:$AD$102,17,FALSE)</f>
        <v>0</v>
      </c>
      <c r="X80" s="250">
        <f>SUM(T80:W80)</f>
        <v>28600</v>
      </c>
      <c r="Y80" s="132"/>
    </row>
    <row r="81" spans="1:30" ht="13.25" hidden="1" customHeight="1" x14ac:dyDescent="0.2">
      <c r="B81" s="210"/>
      <c r="C81" s="27" t="s">
        <v>204</v>
      </c>
      <c r="E81" s="213">
        <f t="shared" ref="E81:J81" si="98">IF(L47&gt;0,ROUNDDOWN(E$75*$T$74,0),0)</f>
        <v>0</v>
      </c>
      <c r="F81" s="213">
        <f t="shared" si="98"/>
        <v>0</v>
      </c>
      <c r="G81" s="213">
        <f t="shared" si="98"/>
        <v>0</v>
      </c>
      <c r="H81" s="213">
        <f t="shared" si="98"/>
        <v>0</v>
      </c>
      <c r="I81" s="213">
        <f t="shared" si="98"/>
        <v>0</v>
      </c>
      <c r="J81" s="213">
        <f t="shared" si="98"/>
        <v>0</v>
      </c>
      <c r="K81" s="252"/>
      <c r="L81" s="207">
        <f t="shared" ref="L81:Q81" si="99">SUM(L69:L80)</f>
        <v>0</v>
      </c>
      <c r="M81" s="207">
        <f t="shared" si="99"/>
        <v>0</v>
      </c>
      <c r="N81" s="207">
        <f t="shared" si="99"/>
        <v>0</v>
      </c>
      <c r="O81" s="207">
        <f t="shared" si="99"/>
        <v>0</v>
      </c>
      <c r="P81" s="207">
        <f t="shared" si="99"/>
        <v>0</v>
      </c>
      <c r="Q81" s="207">
        <f t="shared" si="99"/>
        <v>0</v>
      </c>
      <c r="R81" s="121"/>
      <c r="S81" s="122"/>
      <c r="T81" s="245" t="s">
        <v>41</v>
      </c>
      <c r="U81" s="245" t="s">
        <v>41</v>
      </c>
      <c r="V81" s="245" t="s">
        <v>41</v>
      </c>
      <c r="W81" s="245" t="s">
        <v>41</v>
      </c>
      <c r="X81" s="246" t="s">
        <v>41</v>
      </c>
      <c r="Y81" s="132"/>
    </row>
    <row r="82" spans="1:30" ht="13.25" hidden="1" customHeight="1" x14ac:dyDescent="0.2">
      <c r="B82" s="210"/>
      <c r="C82" s="27" t="s">
        <v>45</v>
      </c>
      <c r="E82" s="213">
        <f t="shared" ref="E82:J82" si="100">IF(L47&gt;0,ROUNDDOWN(E$75*$U$74,0),0)</f>
        <v>0</v>
      </c>
      <c r="F82" s="213">
        <f t="shared" si="100"/>
        <v>0</v>
      </c>
      <c r="G82" s="213">
        <f t="shared" si="100"/>
        <v>0</v>
      </c>
      <c r="H82" s="213">
        <f t="shared" si="100"/>
        <v>0</v>
      </c>
      <c r="I82" s="213">
        <f t="shared" si="100"/>
        <v>0</v>
      </c>
      <c r="J82" s="213">
        <f t="shared" si="100"/>
        <v>0</v>
      </c>
      <c r="K82" s="120"/>
      <c r="L82" s="120"/>
      <c r="M82" s="121"/>
      <c r="N82" s="121"/>
      <c r="O82" s="120"/>
      <c r="P82" s="120"/>
      <c r="Q82" s="121"/>
      <c r="R82" s="121"/>
      <c r="S82" s="122"/>
      <c r="T82" s="253">
        <f>HLOOKUP($C$3,$V$85:$AD$102,5,FALSE)</f>
        <v>660000</v>
      </c>
      <c r="U82" s="253">
        <f>HLOOKUP($C$3,$V$85:$AD$102,9,FALSE)</f>
        <v>260000</v>
      </c>
      <c r="V82" s="253">
        <f>HLOOKUP($C$3,$V$85:$AD$102,13,FALSE)</f>
        <v>170000</v>
      </c>
      <c r="W82" s="253">
        <f>HLOOKUP($C$3,$V$85:$AD$102,18,FALSE)</f>
        <v>0</v>
      </c>
      <c r="X82" s="254">
        <f>SUM(T82:W82)</f>
        <v>1090000</v>
      </c>
      <c r="Y82" s="132"/>
    </row>
    <row r="83" spans="1:30" ht="13.25" hidden="1" customHeight="1" x14ac:dyDescent="0.2">
      <c r="B83" s="210"/>
      <c r="C83" s="123" t="s">
        <v>432</v>
      </c>
      <c r="E83" s="213">
        <f t="shared" ref="E83:J83" si="101">IF(L64&gt;0,ROUNDDOWN(E$75*$V$74,0),0)</f>
        <v>0</v>
      </c>
      <c r="F83" s="213">
        <f t="shared" si="101"/>
        <v>0</v>
      </c>
      <c r="G83" s="213">
        <f t="shared" si="101"/>
        <v>0</v>
      </c>
      <c r="H83" s="213">
        <f t="shared" si="101"/>
        <v>0</v>
      </c>
      <c r="I83" s="213">
        <f t="shared" si="101"/>
        <v>0</v>
      </c>
      <c r="J83" s="213">
        <f t="shared" si="101"/>
        <v>0</v>
      </c>
      <c r="K83" s="120"/>
      <c r="L83" s="120"/>
      <c r="M83" s="121"/>
      <c r="N83" s="121"/>
      <c r="O83" s="120"/>
      <c r="P83" s="120"/>
      <c r="Q83" s="121"/>
      <c r="R83" s="121"/>
      <c r="S83" s="122"/>
      <c r="T83" s="132"/>
      <c r="U83" s="132"/>
      <c r="X83" s="132"/>
    </row>
    <row r="84" spans="1:30" ht="13.25" hidden="1" customHeight="1" x14ac:dyDescent="0.2">
      <c r="B84" s="210"/>
      <c r="C84" s="123" t="s">
        <v>151</v>
      </c>
      <c r="D84" s="123"/>
      <c r="E84" s="213">
        <f t="shared" ref="E84:J84" si="102">IF(L47&gt;0,ROUNDDOWN(E$75*$W$74,0),0)</f>
        <v>0</v>
      </c>
      <c r="F84" s="213">
        <f t="shared" si="102"/>
        <v>0</v>
      </c>
      <c r="G84" s="213">
        <f t="shared" si="102"/>
        <v>0</v>
      </c>
      <c r="H84" s="213">
        <f t="shared" si="102"/>
        <v>0</v>
      </c>
      <c r="I84" s="213">
        <f t="shared" si="102"/>
        <v>0</v>
      </c>
      <c r="J84" s="213">
        <f t="shared" si="102"/>
        <v>0</v>
      </c>
      <c r="K84" s="120"/>
      <c r="L84" s="120"/>
      <c r="M84" s="121"/>
      <c r="N84" s="121"/>
      <c r="O84" s="120"/>
      <c r="P84" s="120"/>
      <c r="Q84" s="121"/>
      <c r="R84" s="121"/>
      <c r="S84" s="122"/>
      <c r="T84" s="132"/>
      <c r="U84" s="132"/>
      <c r="X84" s="132"/>
    </row>
    <row r="85" spans="1:30" ht="13.25" hidden="1" customHeight="1" thickBot="1" x14ac:dyDescent="0.25">
      <c r="B85" s="210"/>
      <c r="C85" s="123" t="s">
        <v>205</v>
      </c>
      <c r="D85" s="123"/>
      <c r="E85" s="213">
        <f t="shared" ref="E85:J85" si="103">IF(L47&gt;0,$T$76,0)</f>
        <v>0</v>
      </c>
      <c r="F85" s="213">
        <f t="shared" si="103"/>
        <v>0</v>
      </c>
      <c r="G85" s="213">
        <f t="shared" si="103"/>
        <v>0</v>
      </c>
      <c r="H85" s="213">
        <f t="shared" si="103"/>
        <v>0</v>
      </c>
      <c r="I85" s="213">
        <f t="shared" si="103"/>
        <v>0</v>
      </c>
      <c r="J85" s="213">
        <f t="shared" si="103"/>
        <v>0</v>
      </c>
      <c r="K85" s="461" t="s">
        <v>258</v>
      </c>
      <c r="L85" s="462"/>
      <c r="M85" s="462"/>
      <c r="N85" s="121"/>
      <c r="O85" s="120"/>
      <c r="P85" s="120"/>
      <c r="Q85" s="121"/>
      <c r="R85" s="121"/>
      <c r="S85" s="122"/>
      <c r="T85" s="255"/>
      <c r="U85" s="255" t="s">
        <v>94</v>
      </c>
      <c r="V85" s="256">
        <v>3</v>
      </c>
      <c r="W85" s="256">
        <v>4</v>
      </c>
      <c r="X85" s="256">
        <v>5</v>
      </c>
      <c r="Y85" s="256">
        <v>6</v>
      </c>
      <c r="Z85" s="256">
        <v>7</v>
      </c>
      <c r="AA85" s="256">
        <v>8</v>
      </c>
      <c r="AB85" s="256">
        <v>9</v>
      </c>
      <c r="AC85" s="256">
        <v>10</v>
      </c>
      <c r="AD85" s="256">
        <v>11</v>
      </c>
    </row>
    <row r="86" spans="1:30" ht="13.25" hidden="1" customHeight="1" x14ac:dyDescent="0.2">
      <c r="B86" s="210"/>
      <c r="C86" s="123" t="s">
        <v>46</v>
      </c>
      <c r="D86" s="123"/>
      <c r="E86" s="213">
        <f t="shared" ref="E86:J86" si="104">IF(L47&gt;0,$U$76,0)</f>
        <v>0</v>
      </c>
      <c r="F86" s="213">
        <f t="shared" si="104"/>
        <v>0</v>
      </c>
      <c r="G86" s="213">
        <f t="shared" si="104"/>
        <v>0</v>
      </c>
      <c r="H86" s="213">
        <f t="shared" si="104"/>
        <v>0</v>
      </c>
      <c r="I86" s="213">
        <f t="shared" si="104"/>
        <v>0</v>
      </c>
      <c r="J86" s="213">
        <f t="shared" si="104"/>
        <v>0</v>
      </c>
      <c r="K86" s="166">
        <f>DATE(($C$3+2018),4,1)</f>
        <v>45748</v>
      </c>
      <c r="L86" s="121">
        <f t="shared" ref="L86:Q97" si="105">IF(AND(L52=1,L69=1),1,0)</f>
        <v>0</v>
      </c>
      <c r="M86" s="121">
        <f t="shared" si="105"/>
        <v>0</v>
      </c>
      <c r="N86" s="121">
        <f t="shared" si="105"/>
        <v>0</v>
      </c>
      <c r="O86" s="121">
        <f t="shared" si="105"/>
        <v>0</v>
      </c>
      <c r="P86" s="121">
        <f t="shared" si="105"/>
        <v>0</v>
      </c>
      <c r="Q86" s="121">
        <f t="shared" si="105"/>
        <v>0</v>
      </c>
      <c r="R86" s="121"/>
      <c r="S86" s="122"/>
      <c r="T86" s="257"/>
      <c r="U86" s="258" t="s">
        <v>97</v>
      </c>
      <c r="V86" s="259">
        <v>8.1000000000000003E-2</v>
      </c>
      <c r="W86" s="259">
        <v>7.1999999999999995E-2</v>
      </c>
      <c r="X86" s="259">
        <v>7.1999999999999995E-2</v>
      </c>
      <c r="Y86" s="259">
        <v>7.1999999999999995E-2</v>
      </c>
      <c r="Z86" s="259">
        <v>7.1999999999999995E-2</v>
      </c>
      <c r="AA86" s="259">
        <v>7.1999999999999995E-2</v>
      </c>
      <c r="AB86" s="259"/>
      <c r="AC86" s="259"/>
      <c r="AD86" s="259"/>
    </row>
    <row r="87" spans="1:30" ht="13.25" hidden="1" customHeight="1" x14ac:dyDescent="0.2">
      <c r="B87" s="210"/>
      <c r="C87" s="123" t="s">
        <v>433</v>
      </c>
      <c r="D87" s="123"/>
      <c r="E87" s="213">
        <f t="shared" ref="E87:J87" si="106">IF(L64&gt;0,$V$76,0)</f>
        <v>0</v>
      </c>
      <c r="F87" s="213">
        <f t="shared" si="106"/>
        <v>0</v>
      </c>
      <c r="G87" s="213">
        <f t="shared" si="106"/>
        <v>0</v>
      </c>
      <c r="H87" s="213">
        <f t="shared" si="106"/>
        <v>0</v>
      </c>
      <c r="I87" s="213">
        <f t="shared" si="106"/>
        <v>0</v>
      </c>
      <c r="J87" s="213">
        <f t="shared" si="106"/>
        <v>0</v>
      </c>
      <c r="K87" s="166">
        <f>DATE(($C$3+2018),5,1)</f>
        <v>45778</v>
      </c>
      <c r="L87" s="121">
        <f t="shared" si="105"/>
        <v>0</v>
      </c>
      <c r="M87" s="121">
        <f t="shared" si="105"/>
        <v>0</v>
      </c>
      <c r="N87" s="121">
        <f t="shared" si="105"/>
        <v>0</v>
      </c>
      <c r="O87" s="121">
        <f t="shared" si="105"/>
        <v>0</v>
      </c>
      <c r="P87" s="121">
        <f t="shared" si="105"/>
        <v>0</v>
      </c>
      <c r="Q87" s="121">
        <f t="shared" si="105"/>
        <v>0</v>
      </c>
      <c r="R87" s="121"/>
      <c r="S87" s="122"/>
      <c r="T87" s="260" t="s">
        <v>96</v>
      </c>
      <c r="U87" s="146" t="s">
        <v>98</v>
      </c>
      <c r="V87" s="261">
        <v>29600</v>
      </c>
      <c r="W87" s="261">
        <v>27000</v>
      </c>
      <c r="X87" s="261">
        <v>27000</v>
      </c>
      <c r="Y87" s="261">
        <v>27000</v>
      </c>
      <c r="Z87" s="261">
        <v>27000</v>
      </c>
      <c r="AA87" s="261">
        <v>27000</v>
      </c>
      <c r="AB87" s="261"/>
      <c r="AC87" s="261"/>
      <c r="AD87" s="261"/>
    </row>
    <row r="88" spans="1:30" ht="13.25" hidden="1" customHeight="1" x14ac:dyDescent="0.2">
      <c r="B88" s="210"/>
      <c r="C88" s="262" t="s">
        <v>161</v>
      </c>
      <c r="D88" s="123"/>
      <c r="E88" s="263">
        <f t="shared" ref="E88:J88" si="107">IF(L47&gt;0,$W$76,0)</f>
        <v>0</v>
      </c>
      <c r="F88" s="263">
        <f t="shared" si="107"/>
        <v>0</v>
      </c>
      <c r="G88" s="263">
        <f t="shared" si="107"/>
        <v>0</v>
      </c>
      <c r="H88" s="263">
        <f t="shared" si="107"/>
        <v>0</v>
      </c>
      <c r="I88" s="263">
        <f t="shared" si="107"/>
        <v>0</v>
      </c>
      <c r="J88" s="263">
        <f t="shared" si="107"/>
        <v>0</v>
      </c>
      <c r="K88" s="166">
        <f>DATE(($C$3+2018),6,1)</f>
        <v>45809</v>
      </c>
      <c r="L88" s="121">
        <f t="shared" si="105"/>
        <v>0</v>
      </c>
      <c r="M88" s="121">
        <f t="shared" si="105"/>
        <v>0</v>
      </c>
      <c r="N88" s="121">
        <f t="shared" si="105"/>
        <v>0</v>
      </c>
      <c r="O88" s="121">
        <f t="shared" si="105"/>
        <v>0</v>
      </c>
      <c r="P88" s="121">
        <f t="shared" si="105"/>
        <v>0</v>
      </c>
      <c r="Q88" s="121">
        <f t="shared" si="105"/>
        <v>0</v>
      </c>
      <c r="R88" s="121"/>
      <c r="S88" s="122"/>
      <c r="T88" s="260"/>
      <c r="U88" s="146" t="s">
        <v>40</v>
      </c>
      <c r="V88" s="261">
        <v>17400</v>
      </c>
      <c r="W88" s="261">
        <v>16200</v>
      </c>
      <c r="X88" s="261">
        <v>16200</v>
      </c>
      <c r="Y88" s="261">
        <v>16200</v>
      </c>
      <c r="Z88" s="261">
        <v>16200</v>
      </c>
      <c r="AA88" s="261">
        <v>16200</v>
      </c>
      <c r="AB88" s="261"/>
      <c r="AC88" s="261"/>
      <c r="AD88" s="261"/>
    </row>
    <row r="89" spans="1:30" ht="13.25" hidden="1" customHeight="1" thickBot="1" x14ac:dyDescent="0.25">
      <c r="B89" s="210"/>
      <c r="C89" s="262" t="s">
        <v>159</v>
      </c>
      <c r="D89" s="123"/>
      <c r="E89" s="263">
        <f t="shared" ref="E89:J89" si="108">IF(AND(E51="〇",L47&gt;0),$W$78,0)</f>
        <v>0</v>
      </c>
      <c r="F89" s="263">
        <f t="shared" si="108"/>
        <v>0</v>
      </c>
      <c r="G89" s="263">
        <f t="shared" si="108"/>
        <v>0</v>
      </c>
      <c r="H89" s="263">
        <f t="shared" si="108"/>
        <v>0</v>
      </c>
      <c r="I89" s="263">
        <f t="shared" si="108"/>
        <v>0</v>
      </c>
      <c r="J89" s="263">
        <f t="shared" si="108"/>
        <v>0</v>
      </c>
      <c r="K89" s="166">
        <f>DATE(($C$3+2018),7,1)</f>
        <v>45839</v>
      </c>
      <c r="L89" s="121">
        <f t="shared" si="105"/>
        <v>0</v>
      </c>
      <c r="M89" s="121">
        <f t="shared" si="105"/>
        <v>0</v>
      </c>
      <c r="N89" s="121">
        <f t="shared" si="105"/>
        <v>0</v>
      </c>
      <c r="O89" s="121">
        <f t="shared" si="105"/>
        <v>0</v>
      </c>
      <c r="P89" s="121">
        <f t="shared" si="105"/>
        <v>0</v>
      </c>
      <c r="Q89" s="121">
        <f t="shared" si="105"/>
        <v>0</v>
      </c>
      <c r="R89" s="121"/>
      <c r="S89" s="122"/>
      <c r="T89" s="264"/>
      <c r="U89" s="265" t="s">
        <v>41</v>
      </c>
      <c r="V89" s="266">
        <v>630000</v>
      </c>
      <c r="W89" s="266">
        <v>650000</v>
      </c>
      <c r="X89" s="266">
        <v>650000</v>
      </c>
      <c r="Y89" s="266">
        <v>650000</v>
      </c>
      <c r="Z89" s="266">
        <v>660000</v>
      </c>
      <c r="AA89" s="266">
        <v>660000</v>
      </c>
      <c r="AB89" s="266"/>
      <c r="AC89" s="266"/>
      <c r="AD89" s="266"/>
    </row>
    <row r="90" spans="1:30" ht="13.25" hidden="1" customHeight="1" x14ac:dyDescent="0.2">
      <c r="B90" s="210"/>
      <c r="C90" s="262" t="s">
        <v>184</v>
      </c>
      <c r="D90" s="123"/>
      <c r="E90" s="263"/>
      <c r="F90" s="263"/>
      <c r="G90" s="263"/>
      <c r="H90" s="263"/>
      <c r="I90" s="263"/>
      <c r="J90" s="263"/>
      <c r="K90" s="166">
        <f>DATE(($C$3+2018),8,1)</f>
        <v>45870</v>
      </c>
      <c r="L90" s="121">
        <f t="shared" si="105"/>
        <v>0</v>
      </c>
      <c r="M90" s="121">
        <f t="shared" si="105"/>
        <v>0</v>
      </c>
      <c r="N90" s="121">
        <f t="shared" si="105"/>
        <v>0</v>
      </c>
      <c r="O90" s="121">
        <f t="shared" si="105"/>
        <v>0</v>
      </c>
      <c r="P90" s="121">
        <f t="shared" si="105"/>
        <v>0</v>
      </c>
      <c r="Q90" s="121">
        <f t="shared" si="105"/>
        <v>0</v>
      </c>
      <c r="R90" s="121"/>
      <c r="S90" s="122"/>
      <c r="T90" s="257"/>
      <c r="U90" s="258" t="s">
        <v>97</v>
      </c>
      <c r="V90" s="259">
        <v>2.9100000000000001E-2</v>
      </c>
      <c r="W90" s="259">
        <v>2.8000000000000001E-2</v>
      </c>
      <c r="X90" s="259">
        <v>2.8000000000000001E-2</v>
      </c>
      <c r="Y90" s="259">
        <v>2.8000000000000001E-2</v>
      </c>
      <c r="Z90" s="259">
        <v>2.8000000000000001E-2</v>
      </c>
      <c r="AA90" s="259">
        <v>2.8000000000000001E-2</v>
      </c>
      <c r="AB90" s="259"/>
      <c r="AC90" s="259"/>
      <c r="AD90" s="259"/>
    </row>
    <row r="91" spans="1:30" ht="13.25" hidden="1" customHeight="1" x14ac:dyDescent="0.2">
      <c r="B91" s="210"/>
      <c r="C91" s="262"/>
      <c r="D91" s="123"/>
      <c r="E91" s="263"/>
      <c r="F91" s="263"/>
      <c r="G91" s="263"/>
      <c r="H91" s="263"/>
      <c r="I91" s="263"/>
      <c r="J91" s="263"/>
      <c r="K91" s="166">
        <f>DATE(($C$3+2018),9,1)</f>
        <v>45901</v>
      </c>
      <c r="L91" s="121">
        <f t="shared" si="105"/>
        <v>0</v>
      </c>
      <c r="M91" s="121">
        <f t="shared" si="105"/>
        <v>0</v>
      </c>
      <c r="N91" s="121">
        <f t="shared" si="105"/>
        <v>0</v>
      </c>
      <c r="O91" s="121">
        <f t="shared" si="105"/>
        <v>0</v>
      </c>
      <c r="P91" s="121">
        <f t="shared" si="105"/>
        <v>0</v>
      </c>
      <c r="Q91" s="121">
        <f t="shared" si="105"/>
        <v>0</v>
      </c>
      <c r="R91" s="121"/>
      <c r="S91" s="122"/>
      <c r="T91" s="260" t="s">
        <v>37</v>
      </c>
      <c r="U91" s="146" t="s">
        <v>98</v>
      </c>
      <c r="V91" s="261">
        <v>8900</v>
      </c>
      <c r="W91" s="261">
        <v>9600</v>
      </c>
      <c r="X91" s="261">
        <v>9600</v>
      </c>
      <c r="Y91" s="261">
        <v>9600</v>
      </c>
      <c r="Z91" s="261">
        <v>9600</v>
      </c>
      <c r="AA91" s="261">
        <v>9600</v>
      </c>
      <c r="AB91" s="261"/>
      <c r="AC91" s="261"/>
      <c r="AD91" s="261"/>
    </row>
    <row r="92" spans="1:30" ht="13.25" hidden="1" customHeight="1" x14ac:dyDescent="0.2">
      <c r="E92" s="213"/>
      <c r="F92" s="213"/>
      <c r="G92" s="213"/>
      <c r="H92" s="213"/>
      <c r="I92" s="213"/>
      <c r="J92" s="213"/>
      <c r="K92" s="166">
        <f>DATE(($C$3+2018),10,1)</f>
        <v>45931</v>
      </c>
      <c r="L92" s="121">
        <f t="shared" si="105"/>
        <v>0</v>
      </c>
      <c r="M92" s="121">
        <f t="shared" si="105"/>
        <v>0</v>
      </c>
      <c r="N92" s="121">
        <f t="shared" si="105"/>
        <v>0</v>
      </c>
      <c r="O92" s="121">
        <f t="shared" si="105"/>
        <v>0</v>
      </c>
      <c r="P92" s="121">
        <f t="shared" si="105"/>
        <v>0</v>
      </c>
      <c r="Q92" s="121">
        <f t="shared" si="105"/>
        <v>0</v>
      </c>
      <c r="R92" s="121"/>
      <c r="S92" s="122"/>
      <c r="T92" s="260"/>
      <c r="U92" s="146" t="s">
        <v>40</v>
      </c>
      <c r="V92" s="261">
        <v>5600</v>
      </c>
      <c r="W92" s="261">
        <v>6000</v>
      </c>
      <c r="X92" s="261">
        <v>6000</v>
      </c>
      <c r="Y92" s="261">
        <v>6000</v>
      </c>
      <c r="Z92" s="261">
        <v>6000</v>
      </c>
      <c r="AA92" s="261">
        <v>6000</v>
      </c>
      <c r="AB92" s="261"/>
      <c r="AC92" s="261"/>
      <c r="AD92" s="261"/>
    </row>
    <row r="93" spans="1:30" ht="13.25" hidden="1" customHeight="1" thickBot="1" x14ac:dyDescent="0.25">
      <c r="A93" s="123"/>
      <c r="C93" s="267" t="s">
        <v>80</v>
      </c>
      <c r="E93" s="251"/>
      <c r="F93" s="251"/>
      <c r="G93" s="251"/>
      <c r="H93" s="251"/>
      <c r="I93" s="251"/>
      <c r="J93" s="251"/>
      <c r="K93" s="166">
        <f>DATE(($C$3+2018),11,1)</f>
        <v>45962</v>
      </c>
      <c r="L93" s="121">
        <f t="shared" si="105"/>
        <v>0</v>
      </c>
      <c r="M93" s="121">
        <f t="shared" si="105"/>
        <v>0</v>
      </c>
      <c r="N93" s="121">
        <f t="shared" si="105"/>
        <v>0</v>
      </c>
      <c r="O93" s="121">
        <f t="shared" si="105"/>
        <v>0</v>
      </c>
      <c r="P93" s="121">
        <f t="shared" si="105"/>
        <v>0</v>
      </c>
      <c r="Q93" s="121">
        <f t="shared" si="105"/>
        <v>0</v>
      </c>
      <c r="R93" s="121"/>
      <c r="S93" s="122"/>
      <c r="T93" s="264"/>
      <c r="U93" s="265" t="s">
        <v>41</v>
      </c>
      <c r="V93" s="266">
        <v>190000</v>
      </c>
      <c r="W93" s="266">
        <v>200000</v>
      </c>
      <c r="X93" s="266">
        <v>220000</v>
      </c>
      <c r="Y93" s="266">
        <v>240000</v>
      </c>
      <c r="Z93" s="266">
        <v>260000</v>
      </c>
      <c r="AA93" s="266">
        <v>260000</v>
      </c>
      <c r="AB93" s="266"/>
      <c r="AC93" s="266"/>
      <c r="AD93" s="266"/>
    </row>
    <row r="94" spans="1:30" ht="13.25" hidden="1" customHeight="1" x14ac:dyDescent="0.2">
      <c r="A94" s="123"/>
      <c r="C94" s="27" t="s">
        <v>350</v>
      </c>
      <c r="D94" s="268" t="s">
        <v>269</v>
      </c>
      <c r="E94" s="269">
        <f>COUNTIF(E77:J77,"〇")</f>
        <v>0</v>
      </c>
      <c r="F94" s="185"/>
      <c r="G94" s="185"/>
      <c r="H94" s="185"/>
      <c r="I94" s="185"/>
      <c r="J94" s="185"/>
      <c r="K94" s="166">
        <f>DATE(($C$3+2018),12,1)</f>
        <v>45992</v>
      </c>
      <c r="L94" s="121">
        <f t="shared" si="105"/>
        <v>0</v>
      </c>
      <c r="M94" s="121">
        <f t="shared" si="105"/>
        <v>0</v>
      </c>
      <c r="N94" s="121">
        <f t="shared" si="105"/>
        <v>0</v>
      </c>
      <c r="O94" s="121">
        <f t="shared" si="105"/>
        <v>0</v>
      </c>
      <c r="P94" s="121">
        <f t="shared" si="105"/>
        <v>0</v>
      </c>
      <c r="Q94" s="121">
        <f t="shared" si="105"/>
        <v>0</v>
      </c>
      <c r="R94" s="121"/>
      <c r="S94" s="122"/>
      <c r="T94" s="260"/>
      <c r="U94" s="270" t="s">
        <v>97</v>
      </c>
      <c r="V94" s="271">
        <v>2.5499999999999998E-2</v>
      </c>
      <c r="W94" s="271">
        <v>0.03</v>
      </c>
      <c r="X94" s="271">
        <v>0.03</v>
      </c>
      <c r="Y94" s="271">
        <v>0.03</v>
      </c>
      <c r="Z94" s="271">
        <v>0.03</v>
      </c>
      <c r="AA94" s="271">
        <v>0.03</v>
      </c>
      <c r="AB94" s="271"/>
      <c r="AC94" s="271"/>
      <c r="AD94" s="271"/>
    </row>
    <row r="95" spans="1:30" ht="13.25" hidden="1" customHeight="1" x14ac:dyDescent="0.2">
      <c r="A95" s="123"/>
      <c r="C95" s="27" t="s">
        <v>348</v>
      </c>
      <c r="D95" s="268" t="s">
        <v>323</v>
      </c>
      <c r="E95" s="269" cm="1">
        <f t="array" ref="E95">SUMPRODUCT((E32:J32="〇")*(E15:J15=MIN(IF(E32:J32="〇",E15:J15)))*((E18:J18="被保険者")+(E18:J18="普通世帯主")))</f>
        <v>0</v>
      </c>
      <c r="F95" s="185"/>
      <c r="G95" s="185"/>
      <c r="H95" s="185"/>
      <c r="I95" s="185"/>
      <c r="J95" s="185"/>
      <c r="K95" s="166">
        <f>DATE(($C$3+2019),1,1)</f>
        <v>46023</v>
      </c>
      <c r="L95" s="121">
        <f t="shared" si="105"/>
        <v>0</v>
      </c>
      <c r="M95" s="121">
        <f t="shared" si="105"/>
        <v>0</v>
      </c>
      <c r="N95" s="121">
        <f t="shared" si="105"/>
        <v>0</v>
      </c>
      <c r="O95" s="121">
        <f t="shared" si="105"/>
        <v>0</v>
      </c>
      <c r="P95" s="121">
        <f t="shared" si="105"/>
        <v>0</v>
      </c>
      <c r="Q95" s="121">
        <f t="shared" si="105"/>
        <v>0</v>
      </c>
      <c r="R95" s="121"/>
      <c r="S95" s="122"/>
      <c r="T95" s="260" t="s">
        <v>99</v>
      </c>
      <c r="U95" s="146" t="s">
        <v>98</v>
      </c>
      <c r="V95" s="261">
        <v>9100</v>
      </c>
      <c r="W95" s="261">
        <v>11000</v>
      </c>
      <c r="X95" s="261">
        <v>11000</v>
      </c>
      <c r="Y95" s="261">
        <v>11000</v>
      </c>
      <c r="Z95" s="261">
        <v>11000</v>
      </c>
      <c r="AA95" s="261">
        <v>11000</v>
      </c>
      <c r="AB95" s="261"/>
      <c r="AC95" s="261"/>
      <c r="AD95" s="261"/>
    </row>
    <row r="96" spans="1:30" ht="13.25" hidden="1" customHeight="1" x14ac:dyDescent="0.2">
      <c r="A96" s="123"/>
      <c r="C96" s="27" t="s">
        <v>615</v>
      </c>
      <c r="D96" s="268"/>
      <c r="E96" s="269" cm="1">
        <f t="array" ref="E96">SUMPRODUCT((E32:J32="〇")*((E18:J18="普通世帯主")+(E18:J18="☆擬制世帯主")+(E18:J18="普通世帯主【擬主→国保】")+(E18:J18="☆擬制世帯主【旧国保】")))</f>
        <v>0</v>
      </c>
      <c r="F96" s="269"/>
      <c r="G96" s="269"/>
      <c r="H96" s="269"/>
      <c r="I96" s="269"/>
      <c r="J96" s="269"/>
      <c r="K96" s="166">
        <f>DATE(($C$3+2019),2,1)</f>
        <v>46054</v>
      </c>
      <c r="L96" s="121">
        <f t="shared" si="105"/>
        <v>0</v>
      </c>
      <c r="M96" s="121">
        <f t="shared" si="105"/>
        <v>0</v>
      </c>
      <c r="N96" s="121">
        <f t="shared" si="105"/>
        <v>0</v>
      </c>
      <c r="O96" s="121">
        <f t="shared" si="105"/>
        <v>0</v>
      </c>
      <c r="P96" s="121">
        <f t="shared" si="105"/>
        <v>0</v>
      </c>
      <c r="Q96" s="121">
        <f t="shared" si="105"/>
        <v>0</v>
      </c>
      <c r="R96" s="121"/>
      <c r="S96" s="153"/>
      <c r="T96" s="260"/>
      <c r="U96" s="146" t="s">
        <v>40</v>
      </c>
      <c r="V96" s="261">
        <v>5600</v>
      </c>
      <c r="W96" s="261">
        <v>6400</v>
      </c>
      <c r="X96" s="261">
        <v>6400</v>
      </c>
      <c r="Y96" s="261">
        <v>6400</v>
      </c>
      <c r="Z96" s="261">
        <v>6400</v>
      </c>
      <c r="AA96" s="261">
        <v>6400</v>
      </c>
      <c r="AB96" s="261"/>
      <c r="AC96" s="261"/>
      <c r="AD96" s="261"/>
    </row>
    <row r="97" spans="1:30" ht="13.25" hidden="1" customHeight="1" thickBot="1" x14ac:dyDescent="0.25">
      <c r="A97" s="123"/>
      <c r="C97" s="27" t="s">
        <v>614</v>
      </c>
      <c r="D97" s="268" t="s">
        <v>269</v>
      </c>
      <c r="E97" s="269" cm="1">
        <f t="array" ref="E97">SUMPRODUCT((E32:J32="〇")*(E15:J15=MIN(IF(E32:J32="〇",E15:J15)))*((E18:J18="普通世帯主【擬主→国保】")+(E18:J18="☆旧国保世帯員")+
             (E18:J18="☆擬制世帯主【旧国保】")))</f>
        <v>0</v>
      </c>
      <c r="F97" s="269"/>
      <c r="G97" s="269"/>
      <c r="H97" s="269"/>
      <c r="I97" s="269"/>
      <c r="J97" s="269"/>
      <c r="K97" s="166">
        <f>DATE(($C$3+2019),3,1)</f>
        <v>46082</v>
      </c>
      <c r="L97" s="121">
        <f t="shared" si="105"/>
        <v>0</v>
      </c>
      <c r="M97" s="121">
        <f t="shared" si="105"/>
        <v>0</v>
      </c>
      <c r="N97" s="121">
        <f t="shared" si="105"/>
        <v>0</v>
      </c>
      <c r="O97" s="121">
        <f t="shared" si="105"/>
        <v>0</v>
      </c>
      <c r="P97" s="121">
        <f t="shared" si="105"/>
        <v>0</v>
      </c>
      <c r="Q97" s="121">
        <f t="shared" si="105"/>
        <v>0</v>
      </c>
      <c r="R97" s="121"/>
      <c r="S97" s="153"/>
      <c r="T97" s="264"/>
      <c r="U97" s="265" t="s">
        <v>41</v>
      </c>
      <c r="V97" s="266">
        <v>170000</v>
      </c>
      <c r="W97" s="266">
        <v>170000</v>
      </c>
      <c r="X97" s="266">
        <v>170000</v>
      </c>
      <c r="Y97" s="266">
        <v>170000</v>
      </c>
      <c r="Z97" s="266">
        <v>170000</v>
      </c>
      <c r="AA97" s="266">
        <v>170000</v>
      </c>
      <c r="AB97" s="266"/>
      <c r="AC97" s="266"/>
      <c r="AD97" s="266"/>
    </row>
    <row r="98" spans="1:30" ht="13.25" hidden="1" customHeight="1" x14ac:dyDescent="0.2">
      <c r="C98" s="27" t="s">
        <v>349</v>
      </c>
      <c r="D98" s="268" t="s">
        <v>322</v>
      </c>
      <c r="E98" s="269">
        <f t="array" ref="E98">SUMPRODUCT((E32:J32="〇")*(E15:J15=MIN(IF(E32:J32="〇",E15:J15)))*((E18:J18="被保険者")+(E18:J18="普通世帯主")+(E18:J18="普通世帯主【擬主→国保】")+(E18:J18="☆旧国保世帯員")+(E18:J18="☆擬制世帯主【旧国保】")))</f>
        <v>0</v>
      </c>
      <c r="F98" s="272"/>
      <c r="G98" s="272"/>
      <c r="H98" s="272"/>
      <c r="I98" s="272"/>
      <c r="J98" s="272"/>
      <c r="K98" s="252"/>
      <c r="L98" s="207">
        <f t="shared" ref="L98:Q98" si="109">SUM(L86:L97)</f>
        <v>0</v>
      </c>
      <c r="M98" s="207">
        <f t="shared" si="109"/>
        <v>0</v>
      </c>
      <c r="N98" s="207">
        <f t="shared" si="109"/>
        <v>0</v>
      </c>
      <c r="O98" s="207">
        <f t="shared" si="109"/>
        <v>0</v>
      </c>
      <c r="P98" s="207">
        <f t="shared" si="109"/>
        <v>0</v>
      </c>
      <c r="Q98" s="207">
        <f t="shared" si="109"/>
        <v>0</v>
      </c>
      <c r="R98" s="121"/>
      <c r="S98" s="153"/>
      <c r="T98" s="260"/>
      <c r="U98" s="270" t="s">
        <v>97</v>
      </c>
      <c r="V98" s="271">
        <v>0</v>
      </c>
      <c r="W98" s="271">
        <v>0</v>
      </c>
      <c r="X98" s="271">
        <v>0</v>
      </c>
      <c r="Y98" s="271">
        <v>0</v>
      </c>
      <c r="Z98" s="271">
        <v>0</v>
      </c>
      <c r="AA98" s="271">
        <v>0</v>
      </c>
      <c r="AB98" s="271"/>
      <c r="AC98" s="271"/>
      <c r="AD98" s="271"/>
    </row>
    <row r="99" spans="1:30" ht="13.25" hidden="1" customHeight="1" x14ac:dyDescent="0.2">
      <c r="C99" s="27" t="s">
        <v>347</v>
      </c>
      <c r="D99" s="268"/>
      <c r="E99" s="273" cm="1">
        <f t="array" ref="E99">SUMPRODUCT((($E$45:$J$45="〇")*MIN($E$44:$J$44)))</f>
        <v>0</v>
      </c>
      <c r="F99" s="272"/>
      <c r="G99" s="272"/>
      <c r="H99" s="272"/>
      <c r="I99" s="272"/>
      <c r="J99" s="272"/>
      <c r="K99" s="120"/>
      <c r="L99" s="120"/>
      <c r="M99" s="121"/>
      <c r="N99" s="121"/>
      <c r="O99" s="120"/>
      <c r="P99" s="120"/>
      <c r="Q99" s="121"/>
      <c r="R99" s="121"/>
      <c r="S99" s="153"/>
      <c r="T99" s="260" t="s">
        <v>95</v>
      </c>
      <c r="U99" s="146" t="s">
        <v>98</v>
      </c>
      <c r="V99" s="261">
        <v>0</v>
      </c>
      <c r="W99" s="261">
        <v>0</v>
      </c>
      <c r="X99" s="261">
        <v>0</v>
      </c>
      <c r="Y99" s="261">
        <v>0</v>
      </c>
      <c r="Z99" s="261">
        <v>0</v>
      </c>
      <c r="AA99" s="261">
        <v>0</v>
      </c>
      <c r="AB99" s="261"/>
      <c r="AC99" s="261"/>
      <c r="AD99" s="261"/>
    </row>
    <row r="100" spans="1:30" ht="13.25" hidden="1" customHeight="1" x14ac:dyDescent="0.2">
      <c r="C100" s="267" t="s">
        <v>47</v>
      </c>
      <c r="D100" s="268" t="s">
        <v>269</v>
      </c>
      <c r="E100" s="274" t="str">
        <f t="shared" ref="E100:J100" si="110">IF(OR(E32="",L47=0),"",IF(AND($U$110="〇",$U$111="〇",$U$112="〇"),"7割軽減",IF(AND($U$111="〇",$U$112="〇"),"5割軽減",IF($U$112="〇","2割軽減","軽減なし"))))</f>
        <v/>
      </c>
      <c r="F100" s="274" t="str">
        <f t="shared" si="110"/>
        <v/>
      </c>
      <c r="G100" s="274" t="str">
        <f t="shared" si="110"/>
        <v/>
      </c>
      <c r="H100" s="274" t="str">
        <f t="shared" si="110"/>
        <v/>
      </c>
      <c r="I100" s="274" t="str">
        <f t="shared" si="110"/>
        <v/>
      </c>
      <c r="J100" s="274" t="str">
        <f t="shared" si="110"/>
        <v/>
      </c>
      <c r="K100" s="120"/>
      <c r="L100" s="120"/>
      <c r="M100" s="121"/>
      <c r="N100" s="121"/>
      <c r="O100" s="120"/>
      <c r="P100" s="120"/>
      <c r="Q100" s="121"/>
      <c r="R100" s="121"/>
      <c r="S100" s="153"/>
      <c r="T100" s="260"/>
      <c r="U100" s="146" t="s">
        <v>160</v>
      </c>
      <c r="V100" s="261">
        <v>0</v>
      </c>
      <c r="W100" s="261">
        <v>0</v>
      </c>
      <c r="X100" s="261">
        <v>0</v>
      </c>
      <c r="Y100" s="261">
        <v>0</v>
      </c>
      <c r="Z100" s="261">
        <v>0</v>
      </c>
      <c r="AA100" s="261">
        <v>0</v>
      </c>
      <c r="AB100" s="261"/>
      <c r="AC100" s="261"/>
      <c r="AD100" s="261"/>
    </row>
    <row r="101" spans="1:30" ht="13.25" hidden="1" customHeight="1" x14ac:dyDescent="0.2">
      <c r="B101" s="210"/>
      <c r="E101" s="275"/>
      <c r="F101" s="276"/>
      <c r="G101" s="276"/>
      <c r="H101" s="276"/>
      <c r="I101" s="276"/>
      <c r="J101" s="276"/>
      <c r="K101" s="120"/>
      <c r="L101" s="120"/>
      <c r="M101" s="121"/>
      <c r="N101" s="121"/>
      <c r="O101" s="120"/>
      <c r="P101" s="120"/>
      <c r="Q101" s="121"/>
      <c r="R101" s="121"/>
      <c r="S101" s="153"/>
      <c r="T101" s="260"/>
      <c r="U101" s="146" t="s">
        <v>40</v>
      </c>
      <c r="V101" s="261">
        <v>0</v>
      </c>
      <c r="W101" s="261">
        <v>0</v>
      </c>
      <c r="X101" s="261">
        <v>0</v>
      </c>
      <c r="Y101" s="261">
        <v>0</v>
      </c>
      <c r="Z101" s="261">
        <v>0</v>
      </c>
      <c r="AA101" s="261">
        <v>0</v>
      </c>
      <c r="AB101" s="261"/>
      <c r="AC101" s="261"/>
      <c r="AD101" s="261"/>
    </row>
    <row r="102" spans="1:30" ht="13.25" hidden="1" customHeight="1" thickBot="1" x14ac:dyDescent="0.25">
      <c r="B102" s="210"/>
      <c r="C102" s="277"/>
      <c r="D102" s="277"/>
      <c r="E102" s="278"/>
      <c r="F102" s="278"/>
      <c r="G102" s="278"/>
      <c r="H102" s="278"/>
      <c r="I102" s="278"/>
      <c r="J102" s="278"/>
      <c r="K102" s="120"/>
      <c r="L102" s="120"/>
      <c r="M102" s="121"/>
      <c r="N102" s="121"/>
      <c r="O102" s="120"/>
      <c r="P102" s="120"/>
      <c r="Q102" s="121"/>
      <c r="R102" s="121"/>
      <c r="S102" s="153"/>
      <c r="T102" s="264"/>
      <c r="U102" s="265" t="s">
        <v>41</v>
      </c>
      <c r="V102" s="266">
        <v>0</v>
      </c>
      <c r="W102" s="266">
        <v>0</v>
      </c>
      <c r="X102" s="266">
        <v>0</v>
      </c>
      <c r="Y102" s="266">
        <v>0</v>
      </c>
      <c r="Z102" s="266">
        <v>0</v>
      </c>
      <c r="AA102" s="266">
        <v>0</v>
      </c>
      <c r="AB102" s="266"/>
      <c r="AC102" s="266"/>
      <c r="AD102" s="266"/>
    </row>
    <row r="103" spans="1:30" ht="13.25" hidden="1" customHeight="1" x14ac:dyDescent="0.2">
      <c r="B103" s="210"/>
      <c r="C103" s="277" t="s">
        <v>206</v>
      </c>
      <c r="D103" s="277" t="s">
        <v>167</v>
      </c>
      <c r="E103" s="279">
        <f t="shared" ref="E103:J103" si="111">IF(L47&gt;0,IF(E$29="★該当",-E81,0),0)</f>
        <v>0</v>
      </c>
      <c r="F103" s="279">
        <f t="shared" si="111"/>
        <v>0</v>
      </c>
      <c r="G103" s="279">
        <f t="shared" si="111"/>
        <v>0</v>
      </c>
      <c r="H103" s="279">
        <f t="shared" si="111"/>
        <v>0</v>
      </c>
      <c r="I103" s="279">
        <f t="shared" si="111"/>
        <v>0</v>
      </c>
      <c r="J103" s="279">
        <f t="shared" si="111"/>
        <v>0</v>
      </c>
      <c r="K103" s="120"/>
      <c r="L103" s="120"/>
      <c r="M103" s="121"/>
      <c r="N103" s="121"/>
      <c r="O103" s="120"/>
      <c r="P103" s="120"/>
      <c r="Q103" s="121"/>
      <c r="R103" s="121"/>
      <c r="S103" s="153"/>
      <c r="T103" s="280"/>
      <c r="U103" s="200" t="s">
        <v>233</v>
      </c>
      <c r="V103" s="214">
        <v>430000</v>
      </c>
      <c r="W103" s="214">
        <v>430000</v>
      </c>
      <c r="X103" s="214">
        <v>430000</v>
      </c>
      <c r="Y103" s="214">
        <v>430000</v>
      </c>
      <c r="Z103" s="281">
        <v>430000</v>
      </c>
      <c r="AA103" s="281">
        <v>430000</v>
      </c>
      <c r="AB103" s="282"/>
      <c r="AC103" s="282"/>
      <c r="AD103" s="282"/>
    </row>
    <row r="104" spans="1:30" ht="13.25" hidden="1" customHeight="1" x14ac:dyDescent="0.2">
      <c r="B104" s="210"/>
      <c r="C104" s="277" t="s">
        <v>85</v>
      </c>
      <c r="D104" s="277" t="s">
        <v>167</v>
      </c>
      <c r="E104" s="279">
        <f t="shared" ref="E104:J104" si="112">IF(L47&gt;0,IF(E$29="★該当",-E82,0),0)</f>
        <v>0</v>
      </c>
      <c r="F104" s="279">
        <f t="shared" si="112"/>
        <v>0</v>
      </c>
      <c r="G104" s="279">
        <f t="shared" si="112"/>
        <v>0</v>
      </c>
      <c r="H104" s="279">
        <f t="shared" si="112"/>
        <v>0</v>
      </c>
      <c r="I104" s="279">
        <f t="shared" si="112"/>
        <v>0</v>
      </c>
      <c r="J104" s="279">
        <f t="shared" si="112"/>
        <v>0</v>
      </c>
      <c r="K104" s="120"/>
      <c r="L104" s="120"/>
      <c r="M104" s="121"/>
      <c r="N104" s="121"/>
      <c r="O104" s="120"/>
      <c r="P104" s="120"/>
      <c r="Q104" s="121"/>
      <c r="R104" s="121"/>
      <c r="S104" s="153"/>
      <c r="T104" s="283" t="s">
        <v>234</v>
      </c>
      <c r="U104" s="200" t="s">
        <v>235</v>
      </c>
      <c r="V104" s="169">
        <v>285000</v>
      </c>
      <c r="W104" s="169">
        <v>285000</v>
      </c>
      <c r="X104" s="169">
        <v>290000</v>
      </c>
      <c r="Y104" s="169">
        <v>295000</v>
      </c>
      <c r="Z104" s="169">
        <v>305000</v>
      </c>
      <c r="AA104" s="169">
        <v>305000</v>
      </c>
      <c r="AB104" s="169"/>
      <c r="AC104" s="169"/>
      <c r="AD104" s="169"/>
    </row>
    <row r="105" spans="1:30" ht="13.25" hidden="1" customHeight="1" x14ac:dyDescent="0.2">
      <c r="A105" s="123"/>
      <c r="B105" s="210"/>
      <c r="C105" s="277" t="s">
        <v>435</v>
      </c>
      <c r="D105" s="277" t="s">
        <v>167</v>
      </c>
      <c r="E105" s="279">
        <f t="shared" ref="E105:J105" si="113">IF(L64&gt;0,IF(E$29="★該当",-E83,0),0)</f>
        <v>0</v>
      </c>
      <c r="F105" s="279">
        <f t="shared" si="113"/>
        <v>0</v>
      </c>
      <c r="G105" s="279">
        <f t="shared" si="113"/>
        <v>0</v>
      </c>
      <c r="H105" s="279">
        <f t="shared" si="113"/>
        <v>0</v>
      </c>
      <c r="I105" s="279">
        <f t="shared" si="113"/>
        <v>0</v>
      </c>
      <c r="J105" s="279">
        <f t="shared" si="113"/>
        <v>0</v>
      </c>
      <c r="K105" s="120"/>
      <c r="L105" s="120"/>
      <c r="M105" s="121"/>
      <c r="N105" s="121"/>
      <c r="O105" s="120"/>
      <c r="P105" s="120"/>
      <c r="Q105" s="121"/>
      <c r="R105" s="121"/>
      <c r="S105" s="153"/>
      <c r="T105" s="284"/>
      <c r="U105" s="200" t="s">
        <v>236</v>
      </c>
      <c r="V105" s="169">
        <v>525000</v>
      </c>
      <c r="W105" s="169">
        <v>520000</v>
      </c>
      <c r="X105" s="169">
        <v>535000</v>
      </c>
      <c r="Y105" s="169">
        <v>545000</v>
      </c>
      <c r="Z105" s="169">
        <v>560000</v>
      </c>
      <c r="AA105" s="169">
        <v>560000</v>
      </c>
      <c r="AB105" s="169"/>
      <c r="AC105" s="169"/>
      <c r="AD105" s="169"/>
    </row>
    <row r="106" spans="1:30" ht="13.25" hidden="1" customHeight="1" x14ac:dyDescent="0.2">
      <c r="A106" s="123"/>
      <c r="B106" s="210"/>
      <c r="C106" s="277" t="s">
        <v>152</v>
      </c>
      <c r="D106" s="277" t="s">
        <v>167</v>
      </c>
      <c r="E106" s="279">
        <f t="shared" ref="E106:J106" si="114">IF(L47&gt;0,IF(E$29="★該当",-E84,0),0)</f>
        <v>0</v>
      </c>
      <c r="F106" s="279">
        <f t="shared" si="114"/>
        <v>0</v>
      </c>
      <c r="G106" s="279">
        <f t="shared" si="114"/>
        <v>0</v>
      </c>
      <c r="H106" s="279">
        <f t="shared" si="114"/>
        <v>0</v>
      </c>
      <c r="I106" s="279">
        <f t="shared" si="114"/>
        <v>0</v>
      </c>
      <c r="J106" s="279">
        <f t="shared" si="114"/>
        <v>0</v>
      </c>
      <c r="K106" s="120"/>
      <c r="L106" s="120"/>
      <c r="M106" s="121"/>
      <c r="N106" s="121"/>
      <c r="O106" s="120"/>
      <c r="P106" s="120"/>
      <c r="Q106" s="121"/>
      <c r="R106" s="121"/>
      <c r="S106" s="153"/>
      <c r="T106" s="241"/>
      <c r="U106" s="241"/>
      <c r="V106" s="123"/>
      <c r="W106" s="123"/>
      <c r="X106" s="241"/>
      <c r="Y106" s="123"/>
      <c r="Z106" s="123"/>
      <c r="AA106" s="123"/>
      <c r="AB106" s="123"/>
      <c r="AC106" s="123"/>
    </row>
    <row r="107" spans="1:30" ht="13.25" hidden="1" customHeight="1" x14ac:dyDescent="0.2">
      <c r="A107" s="123"/>
      <c r="B107" s="210"/>
      <c r="C107" s="277" t="s">
        <v>207</v>
      </c>
      <c r="D107" s="277" t="s">
        <v>66</v>
      </c>
      <c r="E107" s="279">
        <f>IF(L47="",0,-E85 *IF(AND(E$29="★該当",OR(E$100="軽減なし",E$100="2割軽減")),0.5,IF(E$100="軽減なし",0,IF(E$100="7割軽減",0.7,
   IF(E$100="5割軽減",0.5,IF(AND(E$29="",E$100="2割軽減"),0.2,0))))))</f>
        <v>0</v>
      </c>
      <c r="F107" s="279">
        <f t="shared" ref="F107:J107" si="115">IF(M47="",0,-F85 *IF(AND(F$29="★該当",OR(F$100="軽減なし",F$100="2割軽減")),0.5,IF(F$100="軽減なし",0,IF(F$100="7割軽減",0.7,
   IF(F$100="5割軽減",0.5,IF(AND(F$29="",F$100="2割軽減"),0.2,0))))))</f>
        <v>0</v>
      </c>
      <c r="G107" s="279">
        <f t="shared" si="115"/>
        <v>0</v>
      </c>
      <c r="H107" s="279">
        <f t="shared" si="115"/>
        <v>0</v>
      </c>
      <c r="I107" s="279">
        <f t="shared" si="115"/>
        <v>0</v>
      </c>
      <c r="J107" s="279">
        <f t="shared" si="115"/>
        <v>0</v>
      </c>
      <c r="K107" s="120"/>
      <c r="L107" s="120"/>
      <c r="M107" s="121"/>
      <c r="N107" s="121"/>
      <c r="O107" s="120"/>
      <c r="P107" s="120"/>
      <c r="Q107" s="121"/>
      <c r="R107" s="121"/>
      <c r="S107" s="153"/>
      <c r="T107" s="241"/>
      <c r="U107" s="241"/>
      <c r="V107" s="123"/>
      <c r="W107" s="123"/>
      <c r="X107" s="241"/>
      <c r="Y107" s="123"/>
      <c r="Z107" s="123"/>
      <c r="AA107" s="123"/>
      <c r="AB107" s="123"/>
      <c r="AC107" s="123"/>
    </row>
    <row r="108" spans="1:30" ht="13.25" hidden="1" customHeight="1" x14ac:dyDescent="0.2">
      <c r="A108" s="123"/>
      <c r="B108" s="210"/>
      <c r="C108" s="277" t="s">
        <v>81</v>
      </c>
      <c r="D108" s="277" t="s">
        <v>66</v>
      </c>
      <c r="E108" s="279">
        <f>IF(L47="",0,-E86 *IF(AND(E$29="★該当",OR(E$100="軽減なし",E$100="2割軽減")),0.5,IF(E$100="軽減なし",0,IF(E$100="7割軽減",0.7,IF(E$100="5割軽減",0.5,IF(AND(E$29="",E$100="2割軽減"),0.2,0))))))</f>
        <v>0</v>
      </c>
      <c r="F108" s="279">
        <f t="shared" ref="F108:J108" si="116">IF(M47="",0,-F86 *IF(AND(F$29="★該当",OR(F$100="軽減なし",F$100="2割軽減")),0.5,IF(F$100="軽減なし",0,IF(F$100="7割軽減",0.7,IF(F$100="5割軽減",0.5,IF(AND(F$29="",F$100="2割軽減"),0.2,0))))))</f>
        <v>0</v>
      </c>
      <c r="G108" s="279">
        <f t="shared" si="116"/>
        <v>0</v>
      </c>
      <c r="H108" s="279">
        <f t="shared" si="116"/>
        <v>0</v>
      </c>
      <c r="I108" s="279">
        <f t="shared" si="116"/>
        <v>0</v>
      </c>
      <c r="J108" s="279">
        <f t="shared" si="116"/>
        <v>0</v>
      </c>
      <c r="K108" s="120"/>
      <c r="L108" s="120"/>
      <c r="M108" s="121"/>
      <c r="N108" s="121"/>
      <c r="O108" s="120"/>
      <c r="P108" s="120"/>
      <c r="Q108" s="121"/>
      <c r="R108" s="121"/>
      <c r="S108" s="153"/>
      <c r="T108" s="123" t="s">
        <v>89</v>
      </c>
      <c r="U108" s="123"/>
      <c r="V108" s="123"/>
      <c r="W108" s="123"/>
      <c r="X108" s="123"/>
      <c r="Y108" s="123"/>
      <c r="Z108" s="459">
        <f>C3</f>
        <v>7</v>
      </c>
      <c r="AA108" s="459"/>
      <c r="AB108" s="123"/>
      <c r="AC108" s="123"/>
    </row>
    <row r="109" spans="1:30" ht="13.25" hidden="1" customHeight="1" x14ac:dyDescent="0.2">
      <c r="A109" s="123"/>
      <c r="B109" s="210"/>
      <c r="C109" s="277" t="s">
        <v>434</v>
      </c>
      <c r="D109" s="277" t="s">
        <v>66</v>
      </c>
      <c r="E109" s="279">
        <f>IF(L64="",0,-E87 *IF(AND(E$29="★該当",OR(E$100="軽減なし",E$100="2割軽減")),0.5,IF(E$100="軽減なし",0,IF(E$100="7割軽減",0.7,IF(E$100="5割軽減",0.5,IF(AND(E$29="",E$100="2割軽減"),0.2,0))))))</f>
        <v>0</v>
      </c>
      <c r="F109" s="279">
        <f t="shared" ref="F109:J109" si="117">IF(M64="",0,-F87 *IF(AND(F$29="★該当",OR(F$100="軽減なし",F$100="2割軽減")),0.5,IF(F$100="軽減なし",0,IF(F$100="7割軽減",0.7,IF(F$100="5割軽減",0.5,IF(AND(F$29="",F$100="2割軽減"),0.2,0))))))</f>
        <v>0</v>
      </c>
      <c r="G109" s="279">
        <f t="shared" si="117"/>
        <v>0</v>
      </c>
      <c r="H109" s="279">
        <f t="shared" si="117"/>
        <v>0</v>
      </c>
      <c r="I109" s="279">
        <f t="shared" si="117"/>
        <v>0</v>
      </c>
      <c r="J109" s="279">
        <f t="shared" si="117"/>
        <v>0</v>
      </c>
      <c r="K109" s="120"/>
      <c r="L109" s="120"/>
      <c r="M109" s="121"/>
      <c r="N109" s="121"/>
      <c r="O109" s="120"/>
      <c r="P109" s="120"/>
      <c r="Q109" s="121"/>
      <c r="R109" s="121"/>
      <c r="S109" s="153"/>
      <c r="T109" s="174" t="s">
        <v>88</v>
      </c>
      <c r="U109" s="200" t="s">
        <v>54</v>
      </c>
      <c r="V109" s="200" t="s">
        <v>48</v>
      </c>
      <c r="W109" s="174" t="s">
        <v>197</v>
      </c>
      <c r="X109" s="200" t="s">
        <v>48</v>
      </c>
      <c r="Y109" s="123"/>
      <c r="Z109" s="200" t="s">
        <v>48</v>
      </c>
      <c r="AA109" s="200" t="s">
        <v>271</v>
      </c>
      <c r="AB109" s="123"/>
      <c r="AC109" s="123"/>
    </row>
    <row r="110" spans="1:30" ht="13.25" hidden="1" customHeight="1" x14ac:dyDescent="0.2">
      <c r="A110" s="123"/>
      <c r="B110" s="210"/>
      <c r="C110" s="277" t="s">
        <v>158</v>
      </c>
      <c r="D110" s="277" t="s">
        <v>66</v>
      </c>
      <c r="E110" s="279">
        <f>IF(L47="",0,-E88 *IF(AND(E$29="★該当",OR(E$100="軽減なし",E$100="2割軽減")),0.5,IF(E$100="軽減なし",0,IF(E$100="7割軽減",0.7,IF(E$100="5割軽減",0.5,IF(AND(E$29="",E$100="2割軽減"),0.2,0))))))</f>
        <v>0</v>
      </c>
      <c r="F110" s="279">
        <f t="shared" ref="F110:J110" si="118">IF(M47="",0,-F88 *IF(AND(F$29="★該当",OR(F$100="軽減なし",F$100="2割軽減")),0.5,IF(F$100="軽減なし",0,IF(F$100="7割軽減",0.7,IF(F$100="5割軽減",0.5,IF(AND(F$29="",F$100="2割軽減"),0.2,0))))))</f>
        <v>0</v>
      </c>
      <c r="G110" s="279">
        <f t="shared" si="118"/>
        <v>0</v>
      </c>
      <c r="H110" s="279">
        <f t="shared" si="118"/>
        <v>0</v>
      </c>
      <c r="I110" s="279">
        <f t="shared" si="118"/>
        <v>0</v>
      </c>
      <c r="J110" s="279">
        <f t="shared" si="118"/>
        <v>0</v>
      </c>
      <c r="K110" s="120"/>
      <c r="L110" s="120"/>
      <c r="M110" s="121"/>
      <c r="N110" s="121"/>
      <c r="O110" s="120"/>
      <c r="P110" s="120"/>
      <c r="Q110" s="121"/>
      <c r="R110" s="121"/>
      <c r="S110" s="153"/>
      <c r="T110" s="169">
        <f>AA110 + 100000*MAX($E$94-1,0)</f>
        <v>430000</v>
      </c>
      <c r="U110" s="285" t="str">
        <f>IF(SUMIF($E$76:$J$76,"〇",$E$78:$J$78)&lt;=T110,"〇","")</f>
        <v>〇</v>
      </c>
      <c r="V110" s="286">
        <v>0.7</v>
      </c>
      <c r="W110" s="174" t="s">
        <v>52</v>
      </c>
      <c r="X110" s="200" t="s">
        <v>49</v>
      </c>
      <c r="Y110" s="123"/>
      <c r="Z110" s="200" t="s">
        <v>233</v>
      </c>
      <c r="AA110" s="169">
        <f>HLOOKUP($C$3,$V$85:$AD$105,19,FALSE)</f>
        <v>430000</v>
      </c>
      <c r="AB110" s="123"/>
      <c r="AC110" s="123"/>
    </row>
    <row r="111" spans="1:30" ht="13.25" hidden="1" customHeight="1" x14ac:dyDescent="0.2">
      <c r="B111" s="210"/>
      <c r="C111" s="277" t="s">
        <v>162</v>
      </c>
      <c r="D111" s="277" t="s">
        <v>66</v>
      </c>
      <c r="E111" s="279">
        <f>IF(L47="",0,-E89 *IF(AND(E$29="★該当",OR(E$100="軽減なし",E$100="2割軽減")),0.5,IF(E$100="軽減なし",0,IF(E$100="7割軽減",0.7,IF(E$100="5割軽減",0.5,IF(AND(E$29="",E$100="2割軽減"),0.2,0))))))</f>
        <v>0</v>
      </c>
      <c r="F111" s="279">
        <f t="shared" ref="F111:J111" si="119">IF(M47="",0,-F89 *IF(AND(F$29="★該当",OR(F$100="軽減なし",F$100="2割軽減")),0.5,IF(F$100="軽減なし",0,IF(F$100="7割軽減",0.7,IF(F$100="5割軽減",0.5,IF(AND(F$29="",F$100="2割軽減"),0.2,0))))))</f>
        <v>0</v>
      </c>
      <c r="G111" s="279">
        <f t="shared" si="119"/>
        <v>0</v>
      </c>
      <c r="H111" s="279">
        <f t="shared" si="119"/>
        <v>0</v>
      </c>
      <c r="I111" s="279">
        <f t="shared" si="119"/>
        <v>0</v>
      </c>
      <c r="J111" s="279">
        <f t="shared" si="119"/>
        <v>0</v>
      </c>
      <c r="K111" s="120"/>
      <c r="L111" s="120"/>
      <c r="M111" s="121"/>
      <c r="N111" s="121"/>
      <c r="O111" s="120"/>
      <c r="P111" s="120"/>
      <c r="Q111" s="121"/>
      <c r="R111" s="121"/>
      <c r="S111" s="153"/>
      <c r="T111" s="169">
        <f>AA110 + 100000*MAX($E$94-1,0) +AA111*$E$98</f>
        <v>430000</v>
      </c>
      <c r="U111" s="285" t="str">
        <f>IF(SUMIF($E$76:$J$76,"〇",$E$78:$J$78)&lt;=T111,"〇","")</f>
        <v>〇</v>
      </c>
      <c r="V111" s="286">
        <v>0.5</v>
      </c>
      <c r="W111" s="174" t="s">
        <v>308</v>
      </c>
      <c r="X111" s="200" t="s">
        <v>50</v>
      </c>
      <c r="Y111" s="123"/>
      <c r="Z111" s="200" t="s">
        <v>50</v>
      </c>
      <c r="AA111" s="169">
        <f>HLOOKUP($C$3,$V$85:$AD$105,20,FALSE)</f>
        <v>305000</v>
      </c>
      <c r="AB111" s="123"/>
      <c r="AC111" s="123"/>
    </row>
    <row r="112" spans="1:30" ht="13.25" hidden="1" customHeight="1" x14ac:dyDescent="0.2">
      <c r="B112" s="210"/>
      <c r="C112" s="277" t="s">
        <v>208</v>
      </c>
      <c r="D112" s="277" t="s">
        <v>64</v>
      </c>
      <c r="E112" s="279">
        <f t="shared" ref="E112:J112" si="120">IF(L47&gt;0,IF(E$49="〇",-(E85+E107)/2,0),0)</f>
        <v>0</v>
      </c>
      <c r="F112" s="279">
        <f t="shared" si="120"/>
        <v>0</v>
      </c>
      <c r="G112" s="279">
        <f t="shared" si="120"/>
        <v>0</v>
      </c>
      <c r="H112" s="279">
        <f t="shared" si="120"/>
        <v>0</v>
      </c>
      <c r="I112" s="279">
        <f t="shared" si="120"/>
        <v>0</v>
      </c>
      <c r="J112" s="279">
        <f t="shared" si="120"/>
        <v>0</v>
      </c>
      <c r="K112" s="120"/>
      <c r="L112" s="120"/>
      <c r="M112" s="121"/>
      <c r="N112" s="121"/>
      <c r="O112" s="120"/>
      <c r="P112" s="120"/>
      <c r="Q112" s="121"/>
      <c r="R112" s="121"/>
      <c r="S112" s="153"/>
      <c r="T112" s="169">
        <f>AA110+ 100000*MAX($E$94-1,0) + AA112*$E$98</f>
        <v>430000</v>
      </c>
      <c r="U112" s="285" t="str">
        <f>IF(SUMIF($E$76:$J$76,"〇",$E$78:$J$78)&lt;=T112,"〇","")</f>
        <v>〇</v>
      </c>
      <c r="V112" s="286">
        <v>0.2</v>
      </c>
      <c r="W112" s="174" t="s">
        <v>309</v>
      </c>
      <c r="X112" s="200" t="s">
        <v>51</v>
      </c>
      <c r="Y112" s="123"/>
      <c r="Z112" s="200" t="s">
        <v>51</v>
      </c>
      <c r="AA112" s="169">
        <f>HLOOKUP($C$3,$V$85:$AD$105,21,FALSE)</f>
        <v>560000</v>
      </c>
      <c r="AB112" s="123"/>
      <c r="AC112" s="123"/>
    </row>
    <row r="113" spans="1:29" ht="13.25" hidden="1" customHeight="1" x14ac:dyDescent="0.2">
      <c r="B113" s="210"/>
      <c r="C113" s="277" t="s">
        <v>101</v>
      </c>
      <c r="D113" s="277" t="s">
        <v>64</v>
      </c>
      <c r="E113" s="279">
        <f t="shared" ref="E113:J113" si="121">IF(L47&gt;0,IF(E$49="〇",-(E86+E108)/2,0),0)</f>
        <v>0</v>
      </c>
      <c r="F113" s="279">
        <f t="shared" si="121"/>
        <v>0</v>
      </c>
      <c r="G113" s="279">
        <f t="shared" si="121"/>
        <v>0</v>
      </c>
      <c r="H113" s="279">
        <f t="shared" si="121"/>
        <v>0</v>
      </c>
      <c r="I113" s="279">
        <f t="shared" si="121"/>
        <v>0</v>
      </c>
      <c r="J113" s="279">
        <f t="shared" si="121"/>
        <v>0</v>
      </c>
      <c r="K113" s="120"/>
      <c r="L113" s="120"/>
      <c r="M113" s="121"/>
      <c r="N113" s="121"/>
      <c r="O113" s="120"/>
      <c r="P113" s="120"/>
      <c r="Q113" s="121"/>
      <c r="R113" s="121"/>
      <c r="S113" s="153"/>
      <c r="T113" s="241"/>
      <c r="U113" s="241"/>
      <c r="V113" s="123"/>
      <c r="W113" s="123"/>
      <c r="X113" s="241"/>
      <c r="Y113" s="123"/>
      <c r="Z113" s="123"/>
      <c r="AA113" s="123"/>
      <c r="AB113" s="123"/>
      <c r="AC113" s="123"/>
    </row>
    <row r="114" spans="1:29" ht="13.25" hidden="1" customHeight="1" x14ac:dyDescent="0.2">
      <c r="B114" s="210"/>
      <c r="C114" s="277" t="s">
        <v>310</v>
      </c>
      <c r="D114" s="277" t="s">
        <v>64</v>
      </c>
      <c r="E114" s="279">
        <f t="shared" ref="E114:J114" si="122">IF(L47&gt;0,IF(E$49="〇",-(E88+E110)/2,0),0)</f>
        <v>0</v>
      </c>
      <c r="F114" s="279">
        <f t="shared" si="122"/>
        <v>0</v>
      </c>
      <c r="G114" s="279">
        <f t="shared" si="122"/>
        <v>0</v>
      </c>
      <c r="H114" s="279">
        <f t="shared" si="122"/>
        <v>0</v>
      </c>
      <c r="I114" s="279">
        <f t="shared" si="122"/>
        <v>0</v>
      </c>
      <c r="J114" s="279">
        <f t="shared" si="122"/>
        <v>0</v>
      </c>
      <c r="K114" s="120"/>
      <c r="L114" s="120"/>
      <c r="M114" s="121"/>
      <c r="N114" s="121"/>
      <c r="O114" s="120"/>
      <c r="P114" s="120"/>
      <c r="Q114" s="121"/>
      <c r="R114" s="121"/>
      <c r="S114" s="153"/>
      <c r="T114" s="123"/>
      <c r="U114" s="123"/>
      <c r="V114" s="123"/>
      <c r="W114" s="123"/>
      <c r="X114" s="123"/>
      <c r="Y114" s="123"/>
      <c r="Z114" s="123"/>
      <c r="AA114" s="123"/>
      <c r="AB114" s="123"/>
      <c r="AC114" s="123"/>
    </row>
    <row r="115" spans="1:29" ht="13.25" hidden="1" customHeight="1" x14ac:dyDescent="0.2">
      <c r="B115" s="210"/>
      <c r="C115" s="277" t="s">
        <v>406</v>
      </c>
      <c r="D115" s="277" t="s">
        <v>311</v>
      </c>
      <c r="E115" s="279">
        <f t="shared" ref="E115:J115" si="123">IF(E51="",-(E88+E110+E114),0)</f>
        <v>0</v>
      </c>
      <c r="F115" s="279">
        <f t="shared" si="123"/>
        <v>0</v>
      </c>
      <c r="G115" s="279">
        <f t="shared" si="123"/>
        <v>0</v>
      </c>
      <c r="H115" s="279">
        <f t="shared" si="123"/>
        <v>0</v>
      </c>
      <c r="I115" s="279">
        <f t="shared" si="123"/>
        <v>0</v>
      </c>
      <c r="J115" s="279">
        <f t="shared" si="123"/>
        <v>0</v>
      </c>
      <c r="K115" s="120"/>
      <c r="L115" s="120"/>
      <c r="M115" s="121"/>
      <c r="N115" s="121"/>
      <c r="O115" s="120"/>
      <c r="P115" s="120"/>
      <c r="Q115" s="121"/>
      <c r="R115" s="121"/>
      <c r="S115" s="153"/>
      <c r="T115" s="123"/>
      <c r="U115" s="123"/>
      <c r="V115" s="123"/>
      <c r="W115" s="123"/>
      <c r="X115" s="123"/>
      <c r="Y115" s="123"/>
      <c r="Z115" s="123"/>
      <c r="AA115" s="123"/>
      <c r="AB115" s="123"/>
      <c r="AC115" s="123"/>
    </row>
    <row r="116" spans="1:29" ht="13.25" hidden="1" customHeight="1" x14ac:dyDescent="0.2">
      <c r="B116" s="210"/>
      <c r="C116" s="277" t="s">
        <v>209</v>
      </c>
      <c r="D116" s="277" t="s">
        <v>325</v>
      </c>
      <c r="E116" s="279">
        <f t="shared" ref="E116:F116" si="124">IF(L47="",0,-$T$80 * IF(AND(E$29="★該当",$E$95=1,OR(E$100="軽減なし",E$100="2割軽減")),0.5,IF(E$100="7割軽減",0.7,IF(E$100="5割軽減",0.5,IF(AND(E$29="",E$100="2割軽減"),0.2,0)))))</f>
        <v>0</v>
      </c>
      <c r="F116" s="279">
        <f t="shared" si="124"/>
        <v>0</v>
      </c>
      <c r="G116" s="279">
        <f>IF(N47="",0,-$T$80 * IF(AND(G$29="★該当",$E$95=1,OR(G$100="軽減なし",G$100="2割軽減")),0.5,IF(G$100="7割軽減",0.7,IF(G$100="5割軽減",0.5,IF(AND(G$29="",G$100="2割軽減"),0.2,0)))))</f>
        <v>0</v>
      </c>
      <c r="H116" s="279">
        <f t="shared" ref="H116:J116" si="125">IF(O47="",0,-$T$80 * IF(AND(H$29="★該当",$E$95=1,OR(H$100="軽減なし",H$100="2割軽減")),0.5,IF(H$100="7割軽減",0.7,IF(H$100="5割軽減",0.5,IF(AND(H$29="",H$100="2割軽減"),0.2,0)))))</f>
        <v>0</v>
      </c>
      <c r="I116" s="279">
        <f t="shared" si="125"/>
        <v>0</v>
      </c>
      <c r="J116" s="279">
        <f t="shared" si="125"/>
        <v>0</v>
      </c>
      <c r="K116" s="120"/>
      <c r="L116" s="120"/>
      <c r="M116" s="121"/>
      <c r="N116" s="121"/>
      <c r="O116" s="120"/>
      <c r="P116" s="120"/>
      <c r="Q116" s="121"/>
      <c r="R116" s="121"/>
      <c r="S116" s="153"/>
      <c r="T116" s="123"/>
      <c r="U116" s="123"/>
      <c r="V116" s="123"/>
      <c r="W116" s="123"/>
      <c r="X116" s="123"/>
      <c r="Y116" s="123"/>
      <c r="Z116" s="123"/>
      <c r="AA116" s="123"/>
      <c r="AB116" s="123"/>
      <c r="AC116" s="123"/>
    </row>
    <row r="117" spans="1:29" ht="13.25" hidden="1" customHeight="1" x14ac:dyDescent="0.2">
      <c r="B117" s="210"/>
      <c r="C117" s="277" t="s">
        <v>82</v>
      </c>
      <c r="D117" s="277" t="s">
        <v>325</v>
      </c>
      <c r="E117" s="279">
        <f>IF(L47="",0,-$U$80 *IF(AND(E$29="★該当",$E$95=1,OR(E$100="軽減なし",E$100="2割軽減")),0.5,IF(E$100="7割軽減",0.7,IF(E$100="5割軽減",0.5,IF(AND(E$29="",E$100="2割軽減"),0.2, 0)))))</f>
        <v>0</v>
      </c>
      <c r="F117" s="279">
        <f t="shared" ref="F117:J117" si="126">IF(M47="",0,-$U$80 *IF(AND(F$29="★該当",$E$95=1,OR(F$100="軽減なし",F$100="2割軽減")),0.5,IF(F$100="7割軽減",0.7,IF(F$100="5割軽減",0.5,IF(AND(F$29="",F$100="2割軽減"),0.2, 0)))))</f>
        <v>0</v>
      </c>
      <c r="G117" s="279">
        <f t="shared" si="126"/>
        <v>0</v>
      </c>
      <c r="H117" s="279">
        <f t="shared" si="126"/>
        <v>0</v>
      </c>
      <c r="I117" s="279">
        <f t="shared" si="126"/>
        <v>0</v>
      </c>
      <c r="J117" s="279">
        <f t="shared" si="126"/>
        <v>0</v>
      </c>
      <c r="K117" s="120"/>
      <c r="L117" s="120"/>
      <c r="M117" s="121"/>
      <c r="N117" s="121"/>
      <c r="O117" s="120"/>
      <c r="P117" s="120"/>
      <c r="Q117" s="121"/>
      <c r="R117" s="121"/>
      <c r="S117" s="153"/>
      <c r="T117" s="123"/>
      <c r="U117" s="123"/>
      <c r="V117" s="123"/>
      <c r="W117" s="123"/>
      <c r="X117" s="123"/>
      <c r="Y117" s="123"/>
      <c r="Z117" s="123"/>
      <c r="AA117" s="123"/>
      <c r="AB117" s="123"/>
      <c r="AC117" s="123"/>
    </row>
    <row r="118" spans="1:29" ht="13.25" hidden="1" customHeight="1" x14ac:dyDescent="0.2">
      <c r="B118" s="210"/>
      <c r="C118" s="277" t="s">
        <v>431</v>
      </c>
      <c r="D118" s="277" t="s">
        <v>325</v>
      </c>
      <c r="E118" s="279">
        <f>IF(L64="",0,-$V$80 * IF(AND(E$29="★該当",$E$95=1,OR(E$100="軽減なし",E$100="2割軽減")),0.5,IF(E$100="7割軽減",0.7,IF(E$100="5割軽減",0.5,IF(AND(E$29="",E$100="2割軽減"),0.2,0)))))</f>
        <v>0</v>
      </c>
      <c r="F118" s="279">
        <f t="shared" ref="F118:J118" si="127">IF(M64="",0,-$V$80 * IF(AND(F$29="★該当",$E$95=1,OR(F$100="軽減なし",F$100="2割軽減")),0.5,IF(F$100="7割軽減",0.7,IF(F$100="5割軽減",0.5,IF(AND(F$29="",F$100="2割軽減"),0.2,0)))))</f>
        <v>0</v>
      </c>
      <c r="G118" s="279">
        <f t="shared" si="127"/>
        <v>0</v>
      </c>
      <c r="H118" s="279">
        <f t="shared" si="127"/>
        <v>0</v>
      </c>
      <c r="I118" s="279">
        <f t="shared" si="127"/>
        <v>0</v>
      </c>
      <c r="J118" s="279">
        <f t="shared" si="127"/>
        <v>0</v>
      </c>
      <c r="K118" s="120"/>
      <c r="L118" s="120"/>
      <c r="M118" s="121"/>
      <c r="N118" s="121"/>
      <c r="O118" s="120"/>
      <c r="P118" s="120"/>
      <c r="Q118" s="121"/>
      <c r="R118" s="121"/>
      <c r="S118" s="153"/>
      <c r="T118" s="123"/>
      <c r="U118" s="123"/>
      <c r="V118" s="123"/>
      <c r="W118" s="123"/>
      <c r="X118" s="123"/>
      <c r="Y118" s="123"/>
      <c r="Z118" s="123"/>
      <c r="AA118" s="123"/>
      <c r="AB118" s="123"/>
      <c r="AC118" s="123"/>
    </row>
    <row r="119" spans="1:29" ht="13.25" hidden="1" customHeight="1" x14ac:dyDescent="0.2">
      <c r="A119" s="123"/>
      <c r="B119" s="210"/>
      <c r="C119" s="277" t="s">
        <v>153</v>
      </c>
      <c r="D119" s="277" t="s">
        <v>325</v>
      </c>
      <c r="E119" s="279">
        <f>IF(L47="",0,-$W$80 *IF(AND(E$29="★該当",$E$95=1,OR(E$100="軽減なし",E$100="2割軽減")),0.5,IF(E$100="7割軽減",0.7,IF(E$100="5割軽減",0.5,IF(AND(E$29="",E$100="2割軽減"),0.2,0)))))</f>
        <v>0</v>
      </c>
      <c r="F119" s="279">
        <f t="shared" ref="F119:J119" si="128">IF(M47="",0,-$W$80 *IF(AND(F$29="★該当",$E$95=1,OR(F$100="軽減なし",F$100="2割軽減")),0.5,IF(F$100="7割軽減",0.7,IF(F$100="5割軽減",0.5,IF(AND(F$29="",F$100="2割軽減"),0.2,0)))))</f>
        <v>0</v>
      </c>
      <c r="G119" s="279">
        <f t="shared" si="128"/>
        <v>0</v>
      </c>
      <c r="H119" s="279">
        <f t="shared" si="128"/>
        <v>0</v>
      </c>
      <c r="I119" s="279">
        <f t="shared" si="128"/>
        <v>0</v>
      </c>
      <c r="J119" s="279">
        <f t="shared" si="128"/>
        <v>0</v>
      </c>
      <c r="K119" s="120"/>
      <c r="L119" s="120"/>
      <c r="M119" s="121"/>
      <c r="N119" s="121"/>
      <c r="O119" s="120"/>
      <c r="P119" s="120"/>
      <c r="Q119" s="121"/>
      <c r="R119" s="121"/>
      <c r="S119" s="153"/>
      <c r="T119" s="123"/>
      <c r="U119" s="123"/>
      <c r="V119" s="123"/>
      <c r="W119" s="123"/>
      <c r="X119" s="123"/>
      <c r="Y119" s="123"/>
      <c r="Z119" s="123"/>
      <c r="AA119" s="123"/>
      <c r="AB119" s="123"/>
      <c r="AC119" s="123"/>
    </row>
    <row r="120" spans="1:29" ht="13.25" hidden="1" customHeight="1" x14ac:dyDescent="0.2">
      <c r="A120" s="123"/>
      <c r="B120" s="210"/>
      <c r="C120" s="277" t="s">
        <v>397</v>
      </c>
      <c r="D120" s="277" t="s">
        <v>324</v>
      </c>
      <c r="E120" s="279">
        <f t="shared" ref="E120:J120" si="129">IFERROR(IF(AND($E$95=1,$E$97&gt;0,L47&gt;0,E76="〇"),IF($E$99&lt;60, -($T$80+E116)/2,IF($E$99&lt;96, -($T$80+E116)/4, 0)),0),0)</f>
        <v>0</v>
      </c>
      <c r="F120" s="279">
        <f t="shared" si="129"/>
        <v>0</v>
      </c>
      <c r="G120" s="279">
        <f t="shared" si="129"/>
        <v>0</v>
      </c>
      <c r="H120" s="279">
        <f t="shared" si="129"/>
        <v>0</v>
      </c>
      <c r="I120" s="279">
        <f t="shared" si="129"/>
        <v>0</v>
      </c>
      <c r="J120" s="279">
        <f t="shared" si="129"/>
        <v>0</v>
      </c>
      <c r="K120" s="120"/>
      <c r="L120" s="120"/>
      <c r="M120" s="121"/>
      <c r="N120" s="121"/>
      <c r="O120" s="120"/>
      <c r="P120" s="120"/>
      <c r="Q120" s="121"/>
      <c r="R120" s="121"/>
      <c r="S120" s="153"/>
      <c r="T120" s="123"/>
      <c r="U120" s="123"/>
      <c r="V120" s="123"/>
      <c r="W120" s="123"/>
      <c r="X120" s="123"/>
      <c r="Y120" s="123"/>
      <c r="Z120" s="123"/>
      <c r="AA120" s="123"/>
      <c r="AB120" s="123"/>
      <c r="AC120" s="123"/>
    </row>
    <row r="121" spans="1:29" ht="13.25" hidden="1" customHeight="1" x14ac:dyDescent="0.2">
      <c r="A121" s="123"/>
      <c r="B121" s="210"/>
      <c r="C121" s="277" t="s">
        <v>102</v>
      </c>
      <c r="D121" s="277" t="s">
        <v>166</v>
      </c>
      <c r="E121" s="278">
        <f t="shared" ref="E121:J121" si="130">IFERROR(IF(AND($E$95=1,$E$97&gt;0,L47&gt;0,E76="〇"),IF($E$99&lt;60, -($U$80+E117)/2,IF($E$99&lt;96, -($U$80+E117)/4, 0)),0),0)</f>
        <v>0</v>
      </c>
      <c r="F121" s="278">
        <f t="shared" si="130"/>
        <v>0</v>
      </c>
      <c r="G121" s="278">
        <f t="shared" si="130"/>
        <v>0</v>
      </c>
      <c r="H121" s="278">
        <f t="shared" si="130"/>
        <v>0</v>
      </c>
      <c r="I121" s="278">
        <f t="shared" si="130"/>
        <v>0</v>
      </c>
      <c r="J121" s="278">
        <f t="shared" si="130"/>
        <v>0</v>
      </c>
      <c r="K121" s="120"/>
      <c r="L121" s="120"/>
      <c r="M121" s="121"/>
      <c r="N121" s="121"/>
      <c r="O121" s="120"/>
      <c r="P121" s="120"/>
      <c r="Q121" s="121"/>
      <c r="R121" s="121"/>
      <c r="S121" s="153"/>
      <c r="T121" s="123"/>
      <c r="U121" s="123"/>
      <c r="V121" s="123"/>
      <c r="W121" s="123"/>
      <c r="X121" s="123"/>
      <c r="Y121" s="123"/>
      <c r="Z121" s="123"/>
      <c r="AA121" s="123"/>
      <c r="AB121" s="123"/>
      <c r="AC121" s="123"/>
    </row>
    <row r="122" spans="1:29" ht="13.25" hidden="1" customHeight="1" x14ac:dyDescent="0.2">
      <c r="A122" s="123"/>
      <c r="B122" s="210"/>
      <c r="C122" s="277" t="s">
        <v>154</v>
      </c>
      <c r="D122" s="277" t="s">
        <v>166</v>
      </c>
      <c r="E122" s="278">
        <f t="shared" ref="E122:J122" si="131">IFERROR(IF(AND($E$95=1,$E$97&gt;0,L47&gt;0,E76="〇"),IF($E$99&lt;60, -($W$80+E119)/2,IF($E$99&lt;96, -($W$80+E119)/4, 0)),0),0)</f>
        <v>0</v>
      </c>
      <c r="F122" s="278">
        <f t="shared" si="131"/>
        <v>0</v>
      </c>
      <c r="G122" s="278">
        <f t="shared" si="131"/>
        <v>0</v>
      </c>
      <c r="H122" s="278">
        <f t="shared" si="131"/>
        <v>0</v>
      </c>
      <c r="I122" s="278">
        <f t="shared" si="131"/>
        <v>0</v>
      </c>
      <c r="J122" s="278">
        <f t="shared" si="131"/>
        <v>0</v>
      </c>
      <c r="K122" s="120"/>
      <c r="L122" s="120"/>
      <c r="M122" s="121"/>
      <c r="N122" s="121"/>
      <c r="O122" s="120"/>
      <c r="P122" s="120"/>
      <c r="Q122" s="121"/>
      <c r="R122" s="121"/>
      <c r="S122" s="153"/>
      <c r="T122" s="123"/>
      <c r="U122" s="123"/>
      <c r="V122" s="123"/>
      <c r="W122" s="123"/>
      <c r="X122" s="123"/>
      <c r="Y122" s="123"/>
      <c r="Z122" s="123"/>
      <c r="AA122" s="123"/>
      <c r="AB122" s="123"/>
      <c r="AC122" s="123"/>
    </row>
    <row r="123" spans="1:29" ht="13.25" hidden="1" customHeight="1" x14ac:dyDescent="0.2">
      <c r="A123" s="123"/>
      <c r="B123" s="210"/>
      <c r="C123" s="123"/>
      <c r="D123" s="123"/>
      <c r="E123" s="251"/>
      <c r="F123" s="251"/>
      <c r="G123" s="251"/>
      <c r="H123" s="251"/>
      <c r="I123" s="251"/>
      <c r="J123" s="251"/>
      <c r="K123" s="120"/>
      <c r="L123" s="120"/>
      <c r="M123" s="121"/>
      <c r="N123" s="121"/>
      <c r="O123" s="120"/>
      <c r="P123" s="120"/>
      <c r="Q123" s="121"/>
      <c r="R123" s="121"/>
      <c r="S123" s="153"/>
      <c r="T123" s="123"/>
      <c r="U123" s="123"/>
      <c r="V123" s="123"/>
      <c r="W123" s="123"/>
      <c r="X123" s="123"/>
      <c r="Y123" s="123"/>
      <c r="Z123" s="123"/>
      <c r="AA123" s="123"/>
      <c r="AB123" s="123"/>
      <c r="AC123" s="123"/>
    </row>
    <row r="124" spans="1:29" ht="13.25" hidden="1" customHeight="1" x14ac:dyDescent="0.2">
      <c r="A124" s="123"/>
      <c r="B124" s="210"/>
      <c r="C124" s="123" t="s">
        <v>61</v>
      </c>
      <c r="D124" s="123"/>
      <c r="E124" s="251"/>
      <c r="F124" s="251"/>
      <c r="G124" s="251"/>
      <c r="H124" s="251"/>
      <c r="I124" s="251"/>
      <c r="J124" s="251"/>
      <c r="K124" s="120"/>
      <c r="L124" s="120"/>
      <c r="M124" s="121"/>
      <c r="N124" s="121"/>
      <c r="O124" s="120"/>
      <c r="P124" s="120"/>
      <c r="Q124" s="121"/>
      <c r="R124" s="121"/>
      <c r="S124" s="153"/>
      <c r="T124" s="123"/>
      <c r="U124" s="123"/>
      <c r="V124" s="123"/>
      <c r="W124" s="123"/>
      <c r="X124" s="123"/>
      <c r="Y124" s="123"/>
      <c r="Z124" s="123"/>
      <c r="AA124" s="123"/>
      <c r="AB124" s="123"/>
      <c r="AC124" s="123"/>
    </row>
    <row r="125" spans="1:29" ht="13.25" hidden="1" customHeight="1" x14ac:dyDescent="0.2">
      <c r="A125" s="123"/>
      <c r="B125" s="210"/>
      <c r="C125" s="123" t="s">
        <v>204</v>
      </c>
      <c r="D125" s="123"/>
      <c r="E125" s="213">
        <f t="shared" ref="E125:J128" si="132">SUM(E81,E103)</f>
        <v>0</v>
      </c>
      <c r="F125" s="213">
        <f t="shared" si="132"/>
        <v>0</v>
      </c>
      <c r="G125" s="213">
        <f t="shared" si="132"/>
        <v>0</v>
      </c>
      <c r="H125" s="213">
        <f t="shared" si="132"/>
        <v>0</v>
      </c>
      <c r="I125" s="213">
        <f t="shared" si="132"/>
        <v>0</v>
      </c>
      <c r="J125" s="213">
        <f t="shared" si="132"/>
        <v>0</v>
      </c>
      <c r="K125" s="120"/>
      <c r="L125" s="120"/>
      <c r="M125" s="121"/>
      <c r="N125" s="121"/>
      <c r="O125" s="120"/>
      <c r="P125" s="120"/>
      <c r="Q125" s="121"/>
      <c r="R125" s="121"/>
      <c r="S125" s="153"/>
      <c r="T125" s="123"/>
      <c r="U125" s="123"/>
      <c r="V125" s="123"/>
      <c r="W125" s="123"/>
      <c r="X125" s="123"/>
      <c r="Y125" s="123"/>
      <c r="Z125" s="123"/>
      <c r="AA125" s="123"/>
      <c r="AB125" s="123"/>
      <c r="AC125" s="123"/>
    </row>
    <row r="126" spans="1:29" ht="13.25" hidden="1" customHeight="1" x14ac:dyDescent="0.2">
      <c r="A126" s="123"/>
      <c r="B126" s="210"/>
      <c r="C126" s="123" t="s">
        <v>45</v>
      </c>
      <c r="D126" s="123"/>
      <c r="E126" s="213">
        <f t="shared" si="132"/>
        <v>0</v>
      </c>
      <c r="F126" s="213">
        <f t="shared" si="132"/>
        <v>0</v>
      </c>
      <c r="G126" s="213">
        <f t="shared" si="132"/>
        <v>0</v>
      </c>
      <c r="H126" s="213">
        <f t="shared" si="132"/>
        <v>0</v>
      </c>
      <c r="I126" s="213">
        <f t="shared" si="132"/>
        <v>0</v>
      </c>
      <c r="J126" s="213">
        <f t="shared" si="132"/>
        <v>0</v>
      </c>
      <c r="K126" s="120"/>
      <c r="L126" s="120"/>
      <c r="M126" s="121"/>
      <c r="N126" s="121"/>
      <c r="O126" s="120"/>
      <c r="P126" s="120"/>
      <c r="Q126" s="121"/>
      <c r="R126" s="121"/>
      <c r="S126" s="153"/>
      <c r="T126" s="123"/>
      <c r="U126" s="123"/>
      <c r="V126" s="123"/>
      <c r="W126" s="123"/>
      <c r="X126" s="123"/>
      <c r="Y126" s="123"/>
      <c r="Z126" s="123"/>
      <c r="AA126" s="123"/>
      <c r="AB126" s="123"/>
      <c r="AC126" s="123"/>
    </row>
    <row r="127" spans="1:29" ht="13.25" hidden="1" customHeight="1" x14ac:dyDescent="0.2">
      <c r="A127" s="123"/>
      <c r="B127" s="210"/>
      <c r="C127" s="123" t="s">
        <v>432</v>
      </c>
      <c r="D127" s="123"/>
      <c r="E127" s="213">
        <f t="shared" si="132"/>
        <v>0</v>
      </c>
      <c r="F127" s="213">
        <f t="shared" si="132"/>
        <v>0</v>
      </c>
      <c r="G127" s="213">
        <f t="shared" si="132"/>
        <v>0</v>
      </c>
      <c r="H127" s="213">
        <f t="shared" si="132"/>
        <v>0</v>
      </c>
      <c r="I127" s="213">
        <f t="shared" si="132"/>
        <v>0</v>
      </c>
      <c r="J127" s="213">
        <f t="shared" si="132"/>
        <v>0</v>
      </c>
      <c r="K127" s="120"/>
      <c r="L127" s="120"/>
      <c r="M127" s="121"/>
      <c r="N127" s="121"/>
      <c r="O127" s="120"/>
      <c r="P127" s="120"/>
      <c r="Q127" s="121"/>
      <c r="R127" s="121"/>
      <c r="S127" s="153"/>
      <c r="T127" s="123"/>
      <c r="U127" s="123"/>
      <c r="V127" s="123"/>
      <c r="W127" s="123"/>
      <c r="X127" s="123"/>
      <c r="Y127" s="123"/>
      <c r="Z127" s="123"/>
      <c r="AA127" s="123"/>
      <c r="AB127" s="123"/>
      <c r="AC127" s="123"/>
    </row>
    <row r="128" spans="1:29" ht="13.25" hidden="1" customHeight="1" x14ac:dyDescent="0.2">
      <c r="A128" s="123"/>
      <c r="B128" s="210"/>
      <c r="C128" s="123" t="s">
        <v>155</v>
      </c>
      <c r="D128" s="123"/>
      <c r="E128" s="213">
        <f t="shared" si="132"/>
        <v>0</v>
      </c>
      <c r="F128" s="213">
        <f t="shared" si="132"/>
        <v>0</v>
      </c>
      <c r="G128" s="213">
        <f t="shared" si="132"/>
        <v>0</v>
      </c>
      <c r="H128" s="213">
        <f t="shared" si="132"/>
        <v>0</v>
      </c>
      <c r="I128" s="213">
        <f t="shared" si="132"/>
        <v>0</v>
      </c>
      <c r="J128" s="213">
        <f t="shared" si="132"/>
        <v>0</v>
      </c>
      <c r="K128" s="120"/>
      <c r="L128" s="120"/>
      <c r="M128" s="121"/>
      <c r="N128" s="121"/>
      <c r="O128" s="120"/>
      <c r="P128" s="120"/>
      <c r="Q128" s="121"/>
      <c r="R128" s="121"/>
      <c r="S128" s="153"/>
      <c r="T128" s="123"/>
      <c r="U128" s="123"/>
      <c r="V128" s="123"/>
      <c r="W128" s="123"/>
      <c r="X128" s="123"/>
      <c r="Y128" s="123"/>
      <c r="Z128" s="123"/>
      <c r="AA128" s="123"/>
      <c r="AB128" s="123"/>
      <c r="AC128" s="123"/>
    </row>
    <row r="129" spans="1:29" ht="13.25" hidden="1" customHeight="1" x14ac:dyDescent="0.2">
      <c r="A129" s="123"/>
      <c r="B129" s="210"/>
      <c r="C129" s="123" t="s">
        <v>205</v>
      </c>
      <c r="D129" s="123"/>
      <c r="E129" s="263">
        <f t="shared" ref="E129:J130" si="133">SUM(E85,E107,E112)</f>
        <v>0</v>
      </c>
      <c r="F129" s="263">
        <f t="shared" si="133"/>
        <v>0</v>
      </c>
      <c r="G129" s="263">
        <f t="shared" si="133"/>
        <v>0</v>
      </c>
      <c r="H129" s="263">
        <f t="shared" si="133"/>
        <v>0</v>
      </c>
      <c r="I129" s="263">
        <f t="shared" si="133"/>
        <v>0</v>
      </c>
      <c r="J129" s="263">
        <f t="shared" si="133"/>
        <v>0</v>
      </c>
      <c r="K129" s="120"/>
      <c r="L129" s="120"/>
      <c r="M129" s="121"/>
      <c r="N129" s="121"/>
      <c r="O129" s="120"/>
      <c r="P129" s="120"/>
      <c r="Q129" s="121"/>
      <c r="R129" s="121"/>
      <c r="S129" s="153"/>
      <c r="T129" s="123"/>
      <c r="U129" s="123"/>
      <c r="V129" s="123"/>
      <c r="W129" s="123"/>
      <c r="X129" s="123"/>
      <c r="Y129" s="123"/>
      <c r="Z129" s="123"/>
      <c r="AA129" s="123"/>
      <c r="AB129" s="123"/>
      <c r="AC129" s="123"/>
    </row>
    <row r="130" spans="1:29" ht="13.25" hidden="1" customHeight="1" x14ac:dyDescent="0.2">
      <c r="A130" s="123"/>
      <c r="B130" s="210"/>
      <c r="C130" s="123" t="s">
        <v>46</v>
      </c>
      <c r="D130" s="123"/>
      <c r="E130" s="263">
        <f t="shared" si="133"/>
        <v>0</v>
      </c>
      <c r="F130" s="263">
        <f t="shared" si="133"/>
        <v>0</v>
      </c>
      <c r="G130" s="263">
        <f t="shared" si="133"/>
        <v>0</v>
      </c>
      <c r="H130" s="263">
        <f t="shared" si="133"/>
        <v>0</v>
      </c>
      <c r="I130" s="263">
        <f t="shared" si="133"/>
        <v>0</v>
      </c>
      <c r="J130" s="263">
        <f t="shared" si="133"/>
        <v>0</v>
      </c>
      <c r="K130" s="120"/>
      <c r="L130" s="120"/>
      <c r="M130" s="121"/>
      <c r="N130" s="121"/>
      <c r="O130" s="120"/>
      <c r="P130" s="120"/>
      <c r="Q130" s="121"/>
      <c r="R130" s="121"/>
      <c r="S130" s="153"/>
      <c r="Y130" s="123"/>
      <c r="Z130" s="123"/>
      <c r="AA130" s="123"/>
      <c r="AB130" s="123"/>
      <c r="AC130" s="123"/>
    </row>
    <row r="131" spans="1:29" ht="13.25" hidden="1" customHeight="1" x14ac:dyDescent="0.2">
      <c r="A131" s="123"/>
      <c r="B131" s="210"/>
      <c r="C131" s="123" t="s">
        <v>433</v>
      </c>
      <c r="D131" s="123"/>
      <c r="E131" s="263">
        <f t="shared" ref="E131:J131" si="134">SUM(E87,E109)</f>
        <v>0</v>
      </c>
      <c r="F131" s="263">
        <f t="shared" si="134"/>
        <v>0</v>
      </c>
      <c r="G131" s="263">
        <f t="shared" si="134"/>
        <v>0</v>
      </c>
      <c r="H131" s="263">
        <f t="shared" si="134"/>
        <v>0</v>
      </c>
      <c r="I131" s="263">
        <f t="shared" si="134"/>
        <v>0</v>
      </c>
      <c r="J131" s="263">
        <f t="shared" si="134"/>
        <v>0</v>
      </c>
      <c r="K131" s="120"/>
      <c r="L131" s="120"/>
      <c r="M131" s="121"/>
      <c r="N131" s="121"/>
      <c r="O131" s="120"/>
      <c r="P131" s="120"/>
      <c r="Q131" s="121"/>
      <c r="R131" s="121"/>
      <c r="S131" s="153"/>
      <c r="Y131" s="123"/>
      <c r="Z131" s="123"/>
      <c r="AA131" s="123"/>
      <c r="AB131" s="123"/>
      <c r="AC131" s="123"/>
    </row>
    <row r="132" spans="1:29" ht="13.25" hidden="1" customHeight="1" x14ac:dyDescent="0.2">
      <c r="A132" s="123"/>
      <c r="B132" s="210"/>
      <c r="C132" s="123" t="s">
        <v>156</v>
      </c>
      <c r="D132" s="123"/>
      <c r="E132" s="263">
        <f t="shared" ref="E132:J132" si="135">SUM(E88,E110,E114,E115)</f>
        <v>0</v>
      </c>
      <c r="F132" s="263">
        <f t="shared" si="135"/>
        <v>0</v>
      </c>
      <c r="G132" s="263">
        <f t="shared" si="135"/>
        <v>0</v>
      </c>
      <c r="H132" s="263">
        <f t="shared" si="135"/>
        <v>0</v>
      </c>
      <c r="I132" s="263">
        <f t="shared" si="135"/>
        <v>0</v>
      </c>
      <c r="J132" s="263">
        <f t="shared" si="135"/>
        <v>0</v>
      </c>
      <c r="K132" s="120"/>
      <c r="L132" s="120"/>
      <c r="M132" s="121"/>
      <c r="N132" s="121"/>
      <c r="O132" s="120"/>
      <c r="P132" s="120"/>
      <c r="Q132" s="121"/>
      <c r="R132" s="121"/>
      <c r="S132" s="153"/>
      <c r="Z132" s="123"/>
      <c r="AA132" s="123"/>
    </row>
    <row r="133" spans="1:29" ht="13.25" hidden="1" customHeight="1" x14ac:dyDescent="0.2">
      <c r="A133" s="123"/>
      <c r="B133" s="210"/>
      <c r="C133" s="123" t="s">
        <v>163</v>
      </c>
      <c r="D133" s="123"/>
      <c r="E133" s="263">
        <f t="shared" ref="E133:J133" si="136">SUM(E89,E111)</f>
        <v>0</v>
      </c>
      <c r="F133" s="263">
        <f t="shared" si="136"/>
        <v>0</v>
      </c>
      <c r="G133" s="263">
        <f t="shared" si="136"/>
        <v>0</v>
      </c>
      <c r="H133" s="263">
        <f t="shared" si="136"/>
        <v>0</v>
      </c>
      <c r="I133" s="263">
        <f t="shared" si="136"/>
        <v>0</v>
      </c>
      <c r="J133" s="263">
        <f t="shared" si="136"/>
        <v>0</v>
      </c>
      <c r="K133" s="120"/>
      <c r="L133" s="120"/>
      <c r="M133" s="121"/>
      <c r="N133" s="121"/>
      <c r="O133" s="120"/>
      <c r="P133" s="120"/>
      <c r="Q133" s="121"/>
      <c r="R133" s="121"/>
      <c r="S133" s="153"/>
    </row>
    <row r="134" spans="1:29" ht="13.25" hidden="1" customHeight="1" x14ac:dyDescent="0.2">
      <c r="A134" s="123"/>
      <c r="B134" s="210"/>
      <c r="C134" s="123"/>
      <c r="D134" s="123"/>
      <c r="E134" s="287"/>
      <c r="F134" s="287"/>
      <c r="G134" s="287"/>
      <c r="H134" s="287"/>
      <c r="I134" s="287"/>
      <c r="J134" s="287"/>
      <c r="K134" s="120"/>
      <c r="L134" s="120"/>
      <c r="M134" s="121"/>
      <c r="N134" s="121"/>
      <c r="O134" s="120"/>
      <c r="P134" s="120"/>
      <c r="Q134" s="121"/>
      <c r="R134" s="121"/>
      <c r="S134" s="153"/>
    </row>
    <row r="135" spans="1:29" ht="13.25" hidden="1" customHeight="1" x14ac:dyDescent="0.2">
      <c r="A135" s="123"/>
      <c r="B135" s="210"/>
      <c r="C135" s="123" t="s">
        <v>199</v>
      </c>
      <c r="D135" s="123" t="s">
        <v>182</v>
      </c>
      <c r="E135" s="263">
        <f t="shared" ref="E135:J137" si="137">SUM(E125,E129)</f>
        <v>0</v>
      </c>
      <c r="F135" s="263">
        <f t="shared" si="137"/>
        <v>0</v>
      </c>
      <c r="G135" s="263">
        <f t="shared" si="137"/>
        <v>0</v>
      </c>
      <c r="H135" s="263">
        <f t="shared" si="137"/>
        <v>0</v>
      </c>
      <c r="I135" s="263">
        <f t="shared" si="137"/>
        <v>0</v>
      </c>
      <c r="J135" s="263">
        <f t="shared" si="137"/>
        <v>0</v>
      </c>
      <c r="K135" s="120"/>
      <c r="L135" s="120"/>
      <c r="M135" s="121"/>
      <c r="N135" s="121"/>
      <c r="O135" s="120"/>
      <c r="P135" s="120"/>
      <c r="Q135" s="121"/>
      <c r="R135" s="121"/>
      <c r="S135" s="153"/>
    </row>
    <row r="136" spans="1:29" ht="13.25" hidden="1" customHeight="1" x14ac:dyDescent="0.2">
      <c r="A136" s="123"/>
      <c r="B136" s="210"/>
      <c r="C136" s="123" t="s">
        <v>103</v>
      </c>
      <c r="D136" s="123" t="s">
        <v>182</v>
      </c>
      <c r="E136" s="263">
        <f t="shared" si="137"/>
        <v>0</v>
      </c>
      <c r="F136" s="263">
        <f t="shared" si="137"/>
        <v>0</v>
      </c>
      <c r="G136" s="263">
        <f t="shared" si="137"/>
        <v>0</v>
      </c>
      <c r="H136" s="263">
        <f t="shared" si="137"/>
        <v>0</v>
      </c>
      <c r="I136" s="263">
        <f t="shared" si="137"/>
        <v>0</v>
      </c>
      <c r="J136" s="263">
        <f t="shared" si="137"/>
        <v>0</v>
      </c>
      <c r="K136" s="120"/>
      <c r="L136" s="120"/>
      <c r="M136" s="121"/>
      <c r="N136" s="121"/>
      <c r="O136" s="120"/>
      <c r="P136" s="120"/>
      <c r="Q136" s="121"/>
      <c r="R136" s="121"/>
      <c r="S136" s="153"/>
    </row>
    <row r="137" spans="1:29" ht="13.25" hidden="1" customHeight="1" x14ac:dyDescent="0.2">
      <c r="A137" s="123"/>
      <c r="B137" s="210"/>
      <c r="C137" s="123" t="s">
        <v>430</v>
      </c>
      <c r="D137" s="123" t="s">
        <v>182</v>
      </c>
      <c r="E137" s="263">
        <f t="shared" si="137"/>
        <v>0</v>
      </c>
      <c r="F137" s="263">
        <f t="shared" si="137"/>
        <v>0</v>
      </c>
      <c r="G137" s="263">
        <f t="shared" si="137"/>
        <v>0</v>
      </c>
      <c r="H137" s="263">
        <f t="shared" si="137"/>
        <v>0</v>
      </c>
      <c r="I137" s="263">
        <f t="shared" si="137"/>
        <v>0</v>
      </c>
      <c r="J137" s="263">
        <f t="shared" si="137"/>
        <v>0</v>
      </c>
      <c r="K137" s="120"/>
      <c r="L137" s="120"/>
      <c r="M137" s="121"/>
      <c r="N137" s="121"/>
      <c r="O137" s="120"/>
      <c r="P137" s="120"/>
      <c r="Q137" s="121"/>
      <c r="R137" s="121"/>
      <c r="S137" s="153"/>
    </row>
    <row r="138" spans="1:29" ht="13.25" hidden="1" customHeight="1" x14ac:dyDescent="0.2">
      <c r="A138" s="123"/>
      <c r="B138" s="210"/>
      <c r="C138" s="123" t="s">
        <v>157</v>
      </c>
      <c r="D138" s="123" t="s">
        <v>164</v>
      </c>
      <c r="E138" s="263">
        <f t="shared" ref="E138:J138" si="138">SUM(E128,E132,E133)</f>
        <v>0</v>
      </c>
      <c r="F138" s="263">
        <f t="shared" si="138"/>
        <v>0</v>
      </c>
      <c r="G138" s="263">
        <f t="shared" si="138"/>
        <v>0</v>
      </c>
      <c r="H138" s="263">
        <f t="shared" si="138"/>
        <v>0</v>
      </c>
      <c r="I138" s="263">
        <f t="shared" si="138"/>
        <v>0</v>
      </c>
      <c r="J138" s="263">
        <f t="shared" si="138"/>
        <v>0</v>
      </c>
      <c r="K138" s="120"/>
      <c r="L138" s="120"/>
      <c r="M138" s="121"/>
      <c r="N138" s="121"/>
      <c r="O138" s="120"/>
      <c r="P138" s="120"/>
      <c r="Q138" s="121"/>
      <c r="R138" s="121"/>
      <c r="S138" s="153"/>
    </row>
    <row r="139" spans="1:29" ht="13.25" hidden="1" customHeight="1" x14ac:dyDescent="0.2">
      <c r="A139" s="123"/>
      <c r="B139" s="210"/>
      <c r="C139" s="119"/>
      <c r="D139" s="123"/>
      <c r="E139" s="288"/>
      <c r="F139" s="288"/>
      <c r="G139" s="288"/>
      <c r="H139" s="288"/>
      <c r="I139" s="288"/>
      <c r="J139" s="288"/>
      <c r="K139" s="120"/>
      <c r="L139" s="120"/>
      <c r="M139" s="121"/>
      <c r="N139" s="121"/>
      <c r="O139" s="120"/>
      <c r="P139" s="120"/>
      <c r="Q139" s="121"/>
      <c r="R139" s="121"/>
      <c r="S139" s="153"/>
    </row>
    <row r="140" spans="1:29" ht="13.25" hidden="1" customHeight="1" x14ac:dyDescent="0.2">
      <c r="A140" s="123"/>
      <c r="C140" s="289"/>
      <c r="D140" s="290" t="s">
        <v>351</v>
      </c>
      <c r="E140" s="291">
        <f t="shared" ref="E140:J140" si="139">-SUM(E125,E126,E127,E128,E129,E130,E131,E132,E133)*COUNTIF(L69:L80,1)/12</f>
        <v>0</v>
      </c>
      <c r="F140" s="291">
        <f t="shared" si="139"/>
        <v>0</v>
      </c>
      <c r="G140" s="291">
        <f t="shared" si="139"/>
        <v>0</v>
      </c>
      <c r="H140" s="291">
        <f t="shared" si="139"/>
        <v>0</v>
      </c>
      <c r="I140" s="291">
        <f t="shared" si="139"/>
        <v>0</v>
      </c>
      <c r="J140" s="291">
        <f t="shared" si="139"/>
        <v>0</v>
      </c>
      <c r="K140" s="120"/>
      <c r="L140" s="120"/>
      <c r="M140" s="121"/>
      <c r="N140" s="121"/>
      <c r="O140" s="120"/>
      <c r="P140" s="120"/>
      <c r="Q140" s="121"/>
      <c r="R140" s="121"/>
      <c r="S140" s="153"/>
    </row>
    <row r="141" spans="1:29" ht="13.25" hidden="1" customHeight="1" thickBot="1" x14ac:dyDescent="0.25">
      <c r="A141" s="123"/>
      <c r="C141" s="118"/>
      <c r="E141" s="292"/>
      <c r="F141" s="292"/>
      <c r="G141" s="292"/>
      <c r="H141" s="292"/>
      <c r="I141" s="292"/>
      <c r="J141" s="292"/>
      <c r="K141" s="120"/>
      <c r="L141" s="120"/>
      <c r="M141" s="121"/>
      <c r="N141" s="121"/>
      <c r="O141" s="120"/>
      <c r="P141" s="120"/>
      <c r="Q141" s="121"/>
      <c r="R141" s="121"/>
      <c r="S141" s="153"/>
    </row>
    <row r="142" spans="1:29" ht="13.25" hidden="1" customHeight="1" x14ac:dyDescent="0.2">
      <c r="C142" s="118"/>
      <c r="D142" s="118"/>
      <c r="E142" s="293" t="s">
        <v>321</v>
      </c>
      <c r="F142" s="293" t="s">
        <v>312</v>
      </c>
      <c r="G142" s="293" t="s">
        <v>256</v>
      </c>
      <c r="H142" s="293" t="s">
        <v>268</v>
      </c>
      <c r="I142" s="293" t="s">
        <v>53</v>
      </c>
      <c r="J142" s="293" t="s">
        <v>338</v>
      </c>
      <c r="K142" s="120"/>
      <c r="L142" s="120"/>
      <c r="M142" s="121"/>
      <c r="N142" s="121"/>
      <c r="O142" s="120"/>
      <c r="P142" s="120"/>
      <c r="Q142" s="121"/>
      <c r="R142" s="121"/>
      <c r="S142" s="153"/>
    </row>
    <row r="143" spans="1:29" ht="13.25" hidden="1" customHeight="1" thickBot="1" x14ac:dyDescent="0.25">
      <c r="C143" s="118"/>
      <c r="D143" s="118"/>
      <c r="E143" s="294" cm="1">
        <f t="array" ref="E143">SUMPRODUCT((E32:J32="〇")*(($E$18:$J$18="被保険者")+($E$18:$J$18="普通世帯主")+($E$18:$J$18="普通世帯主【擬主→国保】"))*$E$74:$J$74)</f>
        <v>0</v>
      </c>
      <c r="F143" s="294" cm="1">
        <f t="array" ref="F143">SUMPRODUCT((E32:J32="〇")*(($E$18:$J$18="被保険者")+($E$18:$J$18="普通世帯主")+($E$18:$J$18="普通世帯主【擬主→国保】"))*($E$75:$J$75))</f>
        <v>0</v>
      </c>
      <c r="G143" s="294" cm="1">
        <f t="array" ref="G143">SUMPRODUCT((E32:J32="〇")*($E$76:$J$76="〇")*($E$78:$J$78))</f>
        <v>0</v>
      </c>
      <c r="H143" s="295">
        <f>$E$98</f>
        <v>0</v>
      </c>
      <c r="I143" s="295">
        <f>$E$94</f>
        <v>0</v>
      </c>
      <c r="J143" s="296" t="str">
        <f>IF(OR(E95&lt;&gt;1,E99=0),"",IF(E99&lt;=60,"1/2軽減世帯",IF(E99&lt;=96,"1/4軽減世帯","")))</f>
        <v/>
      </c>
      <c r="K143" s="120"/>
      <c r="L143" s="120"/>
      <c r="M143" s="121"/>
      <c r="N143" s="121"/>
      <c r="O143" s="120"/>
      <c r="P143" s="120"/>
      <c r="Q143" s="121"/>
      <c r="R143" s="121"/>
      <c r="S143" s="153"/>
    </row>
    <row r="144" spans="1:29" ht="13.25" hidden="1" customHeight="1" x14ac:dyDescent="0.2">
      <c r="C144" s="118"/>
      <c r="E144" s="292"/>
      <c r="F144" s="292"/>
      <c r="G144" s="292"/>
      <c r="H144" s="292"/>
      <c r="I144" s="292"/>
      <c r="J144" s="292"/>
      <c r="K144" s="120"/>
      <c r="L144" s="120"/>
      <c r="M144" s="121"/>
      <c r="N144" s="121"/>
      <c r="O144" s="120"/>
      <c r="P144" s="120"/>
      <c r="Q144" s="121"/>
      <c r="R144" s="121"/>
      <c r="S144" s="153"/>
    </row>
    <row r="145" spans="3:26" ht="13.25" customHeight="1" thickBot="1" x14ac:dyDescent="0.25">
      <c r="C145" s="118"/>
      <c r="E145" s="292"/>
      <c r="F145" s="292"/>
      <c r="G145" s="292"/>
      <c r="H145" s="292"/>
      <c r="I145" s="292"/>
      <c r="J145" s="292"/>
      <c r="K145" s="230"/>
      <c r="L145" s="120"/>
      <c r="M145" s="121"/>
      <c r="N145" s="121"/>
      <c r="O145" s="120"/>
      <c r="P145" s="120"/>
      <c r="Q145" s="121"/>
      <c r="R145" s="121"/>
      <c r="S145" s="153"/>
      <c r="T145" s="123"/>
      <c r="U145" s="123"/>
      <c r="V145" s="123"/>
      <c r="W145" s="123"/>
      <c r="X145" s="123"/>
      <c r="Y145" s="123"/>
    </row>
    <row r="146" spans="3:26" ht="13.25" customHeight="1" thickTop="1" x14ac:dyDescent="0.2">
      <c r="C146" s="231" t="s">
        <v>59</v>
      </c>
      <c r="D146" s="297" t="s">
        <v>606</v>
      </c>
      <c r="E146" s="298">
        <f>SUM(D201,D230,D259,D288)</f>
        <v>0</v>
      </c>
      <c r="F146" s="299"/>
      <c r="G146" s="300"/>
      <c r="H146" s="300"/>
      <c r="I146" s="300"/>
      <c r="J146" s="301"/>
      <c r="K146" s="120"/>
      <c r="L146" s="120"/>
      <c r="M146" s="121"/>
      <c r="N146" s="121"/>
      <c r="O146" s="120"/>
      <c r="P146" s="120"/>
      <c r="Q146" s="121"/>
      <c r="R146" s="121"/>
      <c r="S146" s="153"/>
      <c r="T146" s="123"/>
      <c r="U146" s="123"/>
      <c r="V146" s="123"/>
      <c r="W146" s="123"/>
      <c r="X146" s="123"/>
      <c r="Y146" s="123"/>
      <c r="Z146" s="123"/>
    </row>
    <row r="147" spans="3:26" ht="13.25" customHeight="1" x14ac:dyDescent="0.2">
      <c r="C147" s="118"/>
      <c r="D147" s="297" t="s">
        <v>607</v>
      </c>
      <c r="E147" s="302">
        <f>MAX($E$46:$J$46)</f>
        <v>0</v>
      </c>
      <c r="F147" s="456" t="s">
        <v>676</v>
      </c>
      <c r="G147" s="457"/>
      <c r="H147" s="457"/>
      <c r="I147" s="458"/>
      <c r="J147" s="300"/>
      <c r="K147" s="120"/>
      <c r="L147" s="120"/>
      <c r="M147" s="121"/>
      <c r="N147" s="121"/>
      <c r="O147" s="120"/>
      <c r="P147" s="120"/>
      <c r="Q147" s="121"/>
      <c r="R147" s="121"/>
      <c r="S147" s="153"/>
      <c r="T147" s="123"/>
      <c r="U147" s="123"/>
      <c r="V147" s="123"/>
      <c r="W147" s="123"/>
      <c r="X147" s="123"/>
      <c r="Y147" s="123"/>
      <c r="Z147" s="123"/>
    </row>
    <row r="148" spans="3:26" ht="13.25" customHeight="1" x14ac:dyDescent="0.2">
      <c r="C148" s="118" t="s">
        <v>62</v>
      </c>
      <c r="D148" s="303" t="str">
        <f>CONCATENATE(TEXT(E146,"#,##0"),"円/",TEXT(E147,"#,##0"),"月")</f>
        <v>0円/0月</v>
      </c>
      <c r="E148" s="304" t="str">
        <f>IFERROR(ROUNDUP((E146/E147),-2),"")</f>
        <v/>
      </c>
      <c r="F148" s="299"/>
      <c r="G148" s="300"/>
      <c r="H148" s="300"/>
      <c r="I148" s="300"/>
      <c r="J148" s="300"/>
      <c r="K148" s="120"/>
      <c r="L148" s="120"/>
      <c r="M148" s="121"/>
      <c r="N148" s="121"/>
      <c r="O148" s="120"/>
      <c r="P148" s="120"/>
      <c r="Q148" s="121"/>
      <c r="R148" s="121"/>
      <c r="S148" s="153"/>
      <c r="T148" s="123"/>
      <c r="U148" s="123"/>
      <c r="V148" s="123"/>
      <c r="W148" s="123"/>
      <c r="X148" s="123"/>
      <c r="Y148" s="123"/>
      <c r="Z148" s="123"/>
    </row>
    <row r="149" spans="3:26" ht="13.25" customHeight="1" thickBot="1" x14ac:dyDescent="0.25">
      <c r="C149" s="118" t="s">
        <v>77</v>
      </c>
      <c r="E149" s="305" t="str">
        <f>IF(COUNTIF(E100:J100,"5割軽減")&gt;0,"5割軽減",IF(COUNTIF(E100:J100,"7割軽減")&gt;0,"7割軽減",IF(COUNTIF(E100:J100,"2割軽減")&gt;0,"2割軽減","")))</f>
        <v/>
      </c>
      <c r="F149" s="306"/>
      <c r="G149" s="301"/>
      <c r="H149" s="301"/>
      <c r="I149" s="301"/>
      <c r="J149" s="300"/>
      <c r="K149" s="120"/>
      <c r="L149" s="120"/>
      <c r="M149" s="121"/>
      <c r="N149" s="121"/>
      <c r="O149" s="120"/>
      <c r="P149" s="120"/>
      <c r="Q149" s="121"/>
      <c r="R149" s="121"/>
      <c r="S149" s="153"/>
      <c r="T149" s="123"/>
      <c r="U149" s="123"/>
      <c r="V149" s="123"/>
      <c r="W149" s="123"/>
      <c r="X149" s="123"/>
      <c r="Y149" s="123"/>
      <c r="Z149" s="123"/>
    </row>
    <row r="150" spans="3:26" ht="13.25" customHeight="1" thickTop="1" x14ac:dyDescent="0.2">
      <c r="C150" s="118"/>
      <c r="D150" s="307"/>
      <c r="E150" s="308"/>
      <c r="F150" s="292"/>
      <c r="G150" s="292"/>
      <c r="H150" s="292"/>
      <c r="I150" s="292"/>
      <c r="J150" s="292"/>
      <c r="K150" s="309"/>
      <c r="L150" s="120"/>
      <c r="M150" s="121"/>
      <c r="N150" s="121"/>
      <c r="O150" s="120"/>
      <c r="P150" s="120"/>
      <c r="Q150" s="121"/>
      <c r="R150" s="121"/>
      <c r="S150" s="153"/>
      <c r="T150" s="123"/>
      <c r="U150" s="123"/>
      <c r="V150" s="123"/>
      <c r="W150" s="123"/>
      <c r="X150" s="123"/>
      <c r="Y150" s="123"/>
      <c r="Z150" s="123"/>
    </row>
    <row r="151" spans="3:26" ht="13.25" customHeight="1" x14ac:dyDescent="0.2">
      <c r="C151" s="118"/>
      <c r="E151" s="440" t="s">
        <v>677</v>
      </c>
      <c r="F151" s="441"/>
      <c r="G151" s="441"/>
      <c r="H151" s="441"/>
      <c r="I151" s="441"/>
      <c r="J151" s="442"/>
      <c r="K151" s="120"/>
      <c r="L151" s="120"/>
      <c r="M151" s="121"/>
      <c r="N151" s="121"/>
      <c r="O151" s="120"/>
      <c r="P151" s="120"/>
      <c r="Q151" s="121"/>
      <c r="R151" s="121"/>
      <c r="S151" s="153"/>
      <c r="T151" s="123"/>
      <c r="U151" s="123"/>
      <c r="V151" s="123"/>
      <c r="W151" s="123"/>
      <c r="X151" s="123"/>
      <c r="Y151" s="123"/>
      <c r="Z151" s="123"/>
    </row>
    <row r="152" spans="3:26" ht="13.25" customHeight="1" x14ac:dyDescent="0.2">
      <c r="C152" s="310" t="s">
        <v>679</v>
      </c>
      <c r="D152" s="311" t="s">
        <v>171</v>
      </c>
      <c r="E152" s="312" t="str">
        <f>IF(E46="","",ROUNDDOWN((SUM(E215,E244,E273,E302)),-1))</f>
        <v/>
      </c>
      <c r="F152" s="312" t="str">
        <f t="shared" ref="F152:J152" si="140">IF(F46="","",ROUNDDOWN((SUM(F215,F244,F273,F302)),-1))</f>
        <v/>
      </c>
      <c r="G152" s="312" t="str">
        <f t="shared" si="140"/>
        <v/>
      </c>
      <c r="H152" s="312" t="str">
        <f t="shared" si="140"/>
        <v/>
      </c>
      <c r="I152" s="312" t="str">
        <f t="shared" si="140"/>
        <v/>
      </c>
      <c r="J152" s="312" t="str">
        <f t="shared" si="140"/>
        <v/>
      </c>
      <c r="K152" s="120"/>
      <c r="L152" s="120"/>
      <c r="M152" s="121"/>
      <c r="N152" s="121"/>
      <c r="O152" s="120"/>
      <c r="P152" s="120"/>
      <c r="Q152" s="121"/>
      <c r="R152" s="121"/>
      <c r="S152" s="153"/>
      <c r="T152" s="123"/>
      <c r="U152" s="123"/>
      <c r="V152" s="123"/>
      <c r="W152" s="123"/>
      <c r="X152" s="123"/>
      <c r="Y152" s="123"/>
      <c r="Z152" s="123"/>
    </row>
    <row r="153" spans="3:26" ht="13.25" customHeight="1" x14ac:dyDescent="0.2">
      <c r="C153" s="118"/>
      <c r="D153" s="311" t="s">
        <v>170</v>
      </c>
      <c r="E153" s="313" t="str">
        <f t="shared" ref="E153:J153" si="141">E46</f>
        <v/>
      </c>
      <c r="F153" s="313" t="str">
        <f t="shared" si="141"/>
        <v/>
      </c>
      <c r="G153" s="313" t="str">
        <f t="shared" si="141"/>
        <v/>
      </c>
      <c r="H153" s="313" t="str">
        <f t="shared" si="141"/>
        <v/>
      </c>
      <c r="I153" s="313" t="str">
        <f t="shared" si="141"/>
        <v/>
      </c>
      <c r="J153" s="313" t="str">
        <f t="shared" si="141"/>
        <v/>
      </c>
      <c r="K153" s="120"/>
      <c r="L153" s="120"/>
      <c r="M153" s="121"/>
      <c r="N153" s="121"/>
      <c r="O153" s="120"/>
      <c r="P153" s="120"/>
      <c r="Q153" s="121"/>
      <c r="R153" s="121"/>
      <c r="S153" s="153"/>
      <c r="T153" s="123"/>
      <c r="U153" s="123"/>
      <c r="V153" s="123"/>
      <c r="W153" s="123"/>
      <c r="X153" s="123"/>
      <c r="Y153" s="123"/>
      <c r="Z153" s="123"/>
    </row>
    <row r="154" spans="3:26" ht="13.25" customHeight="1" x14ac:dyDescent="0.2">
      <c r="C154" s="118"/>
      <c r="D154" s="311" t="s">
        <v>465</v>
      </c>
      <c r="E154" s="314" t="str">
        <f>E47</f>
        <v/>
      </c>
      <c r="F154" s="314" t="str">
        <f t="shared" ref="F154:J154" si="142">F47</f>
        <v/>
      </c>
      <c r="G154" s="314" t="str">
        <f t="shared" si="142"/>
        <v/>
      </c>
      <c r="H154" s="314" t="str">
        <f t="shared" si="142"/>
        <v/>
      </c>
      <c r="I154" s="314" t="str">
        <f t="shared" si="142"/>
        <v/>
      </c>
      <c r="J154" s="314" t="str">
        <f t="shared" si="142"/>
        <v/>
      </c>
      <c r="K154" s="120"/>
      <c r="L154" s="120"/>
      <c r="M154" s="121"/>
      <c r="N154" s="121"/>
      <c r="O154" s="120"/>
      <c r="P154" s="120"/>
      <c r="Q154" s="121"/>
      <c r="R154" s="121"/>
      <c r="S154" s="153"/>
      <c r="T154" s="123"/>
      <c r="U154" s="123"/>
      <c r="V154" s="123"/>
      <c r="W154" s="123"/>
      <c r="X154" s="123"/>
      <c r="Y154" s="123"/>
      <c r="Z154" s="123"/>
    </row>
    <row r="155" spans="3:26" ht="13.25" hidden="1" customHeight="1" x14ac:dyDescent="0.2">
      <c r="C155" s="118"/>
      <c r="D155" s="118"/>
      <c r="E155" s="315"/>
      <c r="F155" s="316"/>
      <c r="G155" s="316"/>
      <c r="H155" s="317"/>
      <c r="I155" s="317"/>
      <c r="J155" s="318"/>
      <c r="K155" s="120"/>
      <c r="L155" s="120"/>
      <c r="M155" s="121"/>
      <c r="N155" s="121"/>
      <c r="O155" s="120"/>
      <c r="P155" s="120"/>
      <c r="Q155" s="121"/>
      <c r="R155" s="121"/>
      <c r="S155" s="153"/>
      <c r="T155" s="123"/>
      <c r="U155" s="123"/>
      <c r="V155" s="123"/>
      <c r="W155" s="123"/>
      <c r="X155" s="123"/>
      <c r="Y155" s="123"/>
      <c r="Z155" s="123"/>
    </row>
    <row r="156" spans="3:26" ht="13.25" hidden="1" customHeight="1" x14ac:dyDescent="0.2">
      <c r="C156" s="118"/>
      <c r="D156" s="311" t="s">
        <v>178</v>
      </c>
      <c r="E156" s="312" t="str">
        <f t="shared" ref="E156:J156" si="143">IFERROR(ROUNDUP(E152/E153,-2),"")</f>
        <v/>
      </c>
      <c r="F156" s="312" t="str">
        <f t="shared" si="143"/>
        <v/>
      </c>
      <c r="G156" s="312" t="str">
        <f t="shared" si="143"/>
        <v/>
      </c>
      <c r="H156" s="312" t="str">
        <f t="shared" si="143"/>
        <v/>
      </c>
      <c r="I156" s="312" t="str">
        <f t="shared" si="143"/>
        <v/>
      </c>
      <c r="J156" s="312" t="str">
        <f t="shared" si="143"/>
        <v/>
      </c>
      <c r="K156" s="120"/>
      <c r="L156" s="120"/>
      <c r="M156" s="121"/>
      <c r="N156" s="121"/>
      <c r="O156" s="120"/>
      <c r="P156" s="120"/>
      <c r="Q156" s="121"/>
      <c r="R156" s="121"/>
      <c r="S156" s="153"/>
      <c r="T156" s="123"/>
      <c r="U156" s="123"/>
      <c r="V156" s="123"/>
      <c r="W156" s="123"/>
      <c r="X156" s="123"/>
      <c r="Y156" s="123"/>
      <c r="Z156" s="123"/>
    </row>
    <row r="157" spans="3:26" ht="13.25" hidden="1" customHeight="1" x14ac:dyDescent="0.2">
      <c r="C157" s="118"/>
      <c r="E157" s="314" t="str">
        <f t="shared" ref="E157:J157" si="144">IF(E46="","",1)</f>
        <v/>
      </c>
      <c r="F157" s="314" t="str">
        <f t="shared" si="144"/>
        <v/>
      </c>
      <c r="G157" s="314" t="str">
        <f t="shared" si="144"/>
        <v/>
      </c>
      <c r="H157" s="314" t="str">
        <f t="shared" si="144"/>
        <v/>
      </c>
      <c r="I157" s="314" t="str">
        <f t="shared" si="144"/>
        <v/>
      </c>
      <c r="J157" s="314" t="str">
        <f t="shared" si="144"/>
        <v/>
      </c>
      <c r="K157" s="120"/>
      <c r="L157" s="120"/>
      <c r="M157" s="121"/>
      <c r="N157" s="121"/>
      <c r="O157" s="120"/>
      <c r="P157" s="120"/>
      <c r="Q157" s="121"/>
      <c r="R157" s="121"/>
      <c r="S157" s="153"/>
      <c r="T157" s="123"/>
      <c r="U157" s="123"/>
      <c r="V157" s="123"/>
      <c r="W157" s="123"/>
      <c r="X157" s="123"/>
      <c r="Y157" s="123"/>
      <c r="Z157" s="123"/>
    </row>
    <row r="158" spans="3:26" ht="13.25" hidden="1" customHeight="1" x14ac:dyDescent="0.2">
      <c r="C158" s="319"/>
      <c r="E158" s="292"/>
      <c r="F158" s="292"/>
      <c r="G158" s="292"/>
      <c r="H158" s="292"/>
      <c r="I158" s="292"/>
      <c r="J158" s="292"/>
      <c r="K158" s="120"/>
      <c r="L158" s="120"/>
      <c r="M158" s="121"/>
      <c r="N158" s="121"/>
      <c r="O158" s="120"/>
      <c r="P158" s="120"/>
      <c r="Q158" s="121"/>
      <c r="R158" s="121"/>
      <c r="S158" s="153"/>
      <c r="T158" s="123"/>
      <c r="U158" s="123"/>
      <c r="V158" s="123"/>
      <c r="W158" s="123"/>
      <c r="X158" s="123"/>
      <c r="Y158" s="123"/>
      <c r="Z158" s="123"/>
    </row>
    <row r="159" spans="3:26" ht="13.25" hidden="1" customHeight="1" x14ac:dyDescent="0.2">
      <c r="C159" s="218" t="s">
        <v>680</v>
      </c>
      <c r="D159" s="311" t="s">
        <v>171</v>
      </c>
      <c r="E159" s="312" t="str">
        <f t="shared" ref="E159:J159" si="145">IF(SUM(E171:E183)=0,"",SUM(E171:E183))</f>
        <v/>
      </c>
      <c r="F159" s="312" t="str">
        <f t="shared" si="145"/>
        <v/>
      </c>
      <c r="G159" s="312" t="str">
        <f t="shared" si="145"/>
        <v/>
      </c>
      <c r="H159" s="312" t="str">
        <f t="shared" si="145"/>
        <v/>
      </c>
      <c r="I159" s="312" t="str">
        <f t="shared" si="145"/>
        <v/>
      </c>
      <c r="J159" s="312" t="str">
        <f t="shared" si="145"/>
        <v/>
      </c>
      <c r="K159" s="120"/>
      <c r="L159" s="120"/>
      <c r="M159" s="121"/>
      <c r="N159" s="121"/>
      <c r="O159" s="120"/>
      <c r="P159" s="120"/>
      <c r="Q159" s="121"/>
      <c r="R159" s="121"/>
      <c r="S159" s="153"/>
      <c r="T159" s="123"/>
      <c r="U159" s="123"/>
      <c r="V159" s="123"/>
      <c r="W159" s="123"/>
      <c r="X159" s="123"/>
      <c r="Y159" s="123"/>
      <c r="Z159" s="123"/>
    </row>
    <row r="160" spans="3:26" ht="13.25" hidden="1" customHeight="1" x14ac:dyDescent="0.2">
      <c r="C160" s="118"/>
      <c r="D160" s="311" t="s">
        <v>170</v>
      </c>
      <c r="E160" s="313" t="str">
        <f t="shared" ref="E160:J161" si="146">E46</f>
        <v/>
      </c>
      <c r="F160" s="313" t="str">
        <f t="shared" si="146"/>
        <v/>
      </c>
      <c r="G160" s="313" t="str">
        <f t="shared" si="146"/>
        <v/>
      </c>
      <c r="H160" s="313" t="str">
        <f t="shared" si="146"/>
        <v/>
      </c>
      <c r="I160" s="313" t="str">
        <f t="shared" si="146"/>
        <v/>
      </c>
      <c r="J160" s="313" t="str">
        <f t="shared" si="146"/>
        <v/>
      </c>
      <c r="K160" s="120"/>
      <c r="L160" s="120"/>
      <c r="M160" s="121"/>
      <c r="N160" s="121"/>
      <c r="O160" s="120"/>
      <c r="P160" s="120"/>
      <c r="Q160" s="121"/>
      <c r="R160" s="121"/>
      <c r="S160" s="153"/>
      <c r="T160" s="123"/>
      <c r="U160" s="123"/>
      <c r="V160" s="123"/>
      <c r="W160" s="123"/>
      <c r="X160" s="123"/>
      <c r="Y160" s="123"/>
      <c r="Z160" s="123"/>
    </row>
    <row r="161" spans="3:29" ht="13.25" hidden="1" customHeight="1" x14ac:dyDescent="0.2">
      <c r="C161" s="118"/>
      <c r="D161" s="311" t="s">
        <v>465</v>
      </c>
      <c r="E161" s="314" t="str">
        <f t="shared" si="146"/>
        <v/>
      </c>
      <c r="F161" s="314" t="str">
        <f t="shared" si="146"/>
        <v/>
      </c>
      <c r="G161" s="314" t="str">
        <f t="shared" si="146"/>
        <v/>
      </c>
      <c r="H161" s="314" t="str">
        <f t="shared" si="146"/>
        <v/>
      </c>
      <c r="I161" s="314" t="str">
        <f t="shared" si="146"/>
        <v/>
      </c>
      <c r="J161" s="314" t="str">
        <f t="shared" si="146"/>
        <v/>
      </c>
      <c r="K161" s="120"/>
      <c r="L161" s="120"/>
      <c r="M161" s="121"/>
      <c r="N161" s="121"/>
      <c r="O161" s="120"/>
      <c r="P161" s="120"/>
      <c r="Q161" s="121"/>
      <c r="R161" s="121"/>
      <c r="S161" s="153"/>
      <c r="T161" s="123"/>
      <c r="U161" s="123"/>
      <c r="V161" s="123"/>
      <c r="W161" s="123"/>
      <c r="X161" s="123"/>
      <c r="Y161" s="123"/>
      <c r="Z161" s="123"/>
    </row>
    <row r="162" spans="3:29" ht="13.25" hidden="1" customHeight="1" x14ac:dyDescent="0.2">
      <c r="C162" s="118"/>
      <c r="D162" s="118"/>
      <c r="E162" s="292"/>
      <c r="F162" s="292"/>
      <c r="G162" s="292"/>
      <c r="H162" s="292"/>
      <c r="I162" s="292"/>
      <c r="J162" s="292"/>
      <c r="K162" s="120"/>
      <c r="L162" s="120"/>
      <c r="M162" s="121"/>
      <c r="N162" s="121"/>
      <c r="O162" s="120"/>
      <c r="P162" s="120"/>
      <c r="Q162" s="121"/>
      <c r="R162" s="121"/>
      <c r="S162" s="153"/>
      <c r="T162" s="123"/>
      <c r="U162" s="123"/>
      <c r="V162" s="123"/>
      <c r="W162" s="123"/>
      <c r="X162" s="123"/>
      <c r="Y162" s="123"/>
      <c r="Z162" s="123"/>
    </row>
    <row r="163" spans="3:29" ht="13.25" hidden="1" customHeight="1" x14ac:dyDescent="0.2">
      <c r="C163" s="118"/>
      <c r="D163" s="311" t="s">
        <v>178</v>
      </c>
      <c r="E163" s="312" t="str">
        <f t="shared" ref="E163:J163" si="147">IFERROR(ROUNDUP(E159/E160,-2),"")</f>
        <v/>
      </c>
      <c r="F163" s="312" t="str">
        <f t="shared" si="147"/>
        <v/>
      </c>
      <c r="G163" s="312" t="str">
        <f t="shared" si="147"/>
        <v/>
      </c>
      <c r="H163" s="312" t="str">
        <f t="shared" si="147"/>
        <v/>
      </c>
      <c r="I163" s="312" t="str">
        <f t="shared" si="147"/>
        <v/>
      </c>
      <c r="J163" s="312" t="str">
        <f t="shared" si="147"/>
        <v/>
      </c>
      <c r="K163" s="120"/>
      <c r="L163" s="120"/>
      <c r="M163" s="121"/>
      <c r="N163" s="121"/>
      <c r="O163" s="120"/>
      <c r="P163" s="120"/>
      <c r="Q163" s="121"/>
      <c r="R163" s="121"/>
      <c r="S163" s="153"/>
      <c r="T163" s="123"/>
      <c r="U163" s="123"/>
      <c r="V163" s="123"/>
      <c r="W163" s="123"/>
      <c r="X163" s="123"/>
      <c r="Y163" s="123"/>
      <c r="Z163" s="123"/>
    </row>
    <row r="164" spans="3:29" ht="13.25" hidden="1" customHeight="1" x14ac:dyDescent="0.2">
      <c r="C164" s="118"/>
      <c r="E164" s="314" t="str">
        <f t="shared" ref="E164:J164" si="148">IF(E46="","",1)</f>
        <v/>
      </c>
      <c r="F164" s="314" t="str">
        <f t="shared" si="148"/>
        <v/>
      </c>
      <c r="G164" s="314" t="str">
        <f t="shared" si="148"/>
        <v/>
      </c>
      <c r="H164" s="314" t="str">
        <f t="shared" si="148"/>
        <v/>
      </c>
      <c r="I164" s="314" t="str">
        <f t="shared" si="148"/>
        <v/>
      </c>
      <c r="J164" s="314" t="str">
        <f t="shared" si="148"/>
        <v/>
      </c>
      <c r="K164" s="120"/>
      <c r="L164" s="120"/>
      <c r="M164" s="121"/>
      <c r="N164" s="121"/>
      <c r="O164" s="120"/>
      <c r="P164" s="120"/>
      <c r="Q164" s="121"/>
      <c r="R164" s="121"/>
      <c r="S164" s="153"/>
      <c r="T164" s="123"/>
      <c r="U164" s="123"/>
      <c r="V164" s="123"/>
      <c r="W164" s="123"/>
      <c r="X164" s="123"/>
      <c r="Y164" s="123"/>
      <c r="Z164" s="123"/>
    </row>
    <row r="165" spans="3:29" ht="13.25" hidden="1" customHeight="1" x14ac:dyDescent="0.2">
      <c r="C165" s="319"/>
      <c r="E165" s="320"/>
      <c r="F165" s="320"/>
      <c r="G165" s="292"/>
      <c r="H165" s="292"/>
      <c r="I165" s="292"/>
      <c r="J165" s="292"/>
      <c r="K165" s="120"/>
      <c r="L165" s="120"/>
      <c r="M165" s="121"/>
      <c r="N165" s="121"/>
      <c r="O165" s="120"/>
      <c r="P165" s="120"/>
      <c r="Q165" s="121"/>
      <c r="R165" s="121"/>
      <c r="S165" s="153"/>
      <c r="T165" s="123"/>
      <c r="U165" s="123"/>
      <c r="V165" s="123"/>
      <c r="W165" s="123"/>
      <c r="X165" s="123"/>
      <c r="Y165" s="123"/>
      <c r="Z165" s="123"/>
    </row>
    <row r="166" spans="3:29" ht="13.25" hidden="1" customHeight="1" x14ac:dyDescent="0.2">
      <c r="C166" s="319"/>
      <c r="E166" s="320"/>
      <c r="F166" s="320"/>
      <c r="G166" s="292"/>
      <c r="H166" s="292"/>
      <c r="I166" s="292"/>
      <c r="J166" s="292"/>
      <c r="K166" s="120"/>
      <c r="L166" s="120"/>
      <c r="M166" s="121"/>
      <c r="N166" s="121"/>
      <c r="O166" s="120"/>
      <c r="P166" s="120"/>
      <c r="Q166" s="121"/>
      <c r="R166" s="121"/>
      <c r="S166" s="153"/>
      <c r="Z166" s="123"/>
    </row>
    <row r="167" spans="3:29" ht="13.25" hidden="1" customHeight="1" x14ac:dyDescent="0.2">
      <c r="C167" s="321" t="s">
        <v>200</v>
      </c>
      <c r="D167" s="27" t="s">
        <v>201</v>
      </c>
      <c r="E167" s="223">
        <f>IFERROR(E125/12*(E$46-L$81),0)</f>
        <v>0</v>
      </c>
      <c r="F167" s="223">
        <f t="shared" ref="F167:J168" si="149">IFERROR(F125/12*(F$46-M$81),0)</f>
        <v>0</v>
      </c>
      <c r="G167" s="223">
        <f t="shared" si="149"/>
        <v>0</v>
      </c>
      <c r="H167" s="223">
        <f t="shared" si="149"/>
        <v>0</v>
      </c>
      <c r="I167" s="223">
        <f t="shared" si="149"/>
        <v>0</v>
      </c>
      <c r="J167" s="223">
        <f t="shared" si="149"/>
        <v>0</v>
      </c>
      <c r="K167" s="120"/>
      <c r="L167" s="120"/>
      <c r="M167" s="121"/>
      <c r="N167" s="121"/>
      <c r="O167" s="120"/>
      <c r="P167" s="120"/>
      <c r="Q167" s="121"/>
      <c r="R167" s="121"/>
      <c r="S167" s="153"/>
    </row>
    <row r="168" spans="3:29" ht="13.25" hidden="1" customHeight="1" x14ac:dyDescent="0.2">
      <c r="C168" s="321" t="s">
        <v>202</v>
      </c>
      <c r="D168" s="27" t="s">
        <v>201</v>
      </c>
      <c r="E168" s="223">
        <f>IFERROR(E126/12*(E$46-L$81),0)</f>
        <v>0</v>
      </c>
      <c r="F168" s="223">
        <f t="shared" si="149"/>
        <v>0</v>
      </c>
      <c r="G168" s="223">
        <f t="shared" si="149"/>
        <v>0</v>
      </c>
      <c r="H168" s="223">
        <f t="shared" si="149"/>
        <v>0</v>
      </c>
      <c r="I168" s="223">
        <f t="shared" si="149"/>
        <v>0</v>
      </c>
      <c r="J168" s="223">
        <f t="shared" si="149"/>
        <v>0</v>
      </c>
      <c r="K168" s="120"/>
      <c r="L168" s="120"/>
      <c r="M168" s="121"/>
      <c r="N168" s="121"/>
      <c r="O168" s="120"/>
      <c r="P168" s="120"/>
      <c r="Q168" s="121"/>
      <c r="R168" s="121"/>
      <c r="S168" s="153"/>
    </row>
    <row r="169" spans="3:29" ht="13.25" hidden="1" customHeight="1" x14ac:dyDescent="0.2">
      <c r="C169" s="321" t="s">
        <v>99</v>
      </c>
      <c r="D169" s="27" t="s">
        <v>201</v>
      </c>
      <c r="E169" s="223">
        <f>IFERROR(E127/12*(E$47-L$81),0)</f>
        <v>0</v>
      </c>
      <c r="F169" s="223">
        <f t="shared" ref="F169:J169" si="150">IFERROR(F127/12*(F$47-M$81),0)</f>
        <v>0</v>
      </c>
      <c r="G169" s="223">
        <f t="shared" si="150"/>
        <v>0</v>
      </c>
      <c r="H169" s="223">
        <f t="shared" si="150"/>
        <v>0</v>
      </c>
      <c r="I169" s="223">
        <f t="shared" si="150"/>
        <v>0</v>
      </c>
      <c r="J169" s="223">
        <f t="shared" si="150"/>
        <v>0</v>
      </c>
      <c r="K169" s="120"/>
      <c r="L169" s="120"/>
      <c r="M169" s="121"/>
      <c r="N169" s="121"/>
      <c r="O169" s="120"/>
      <c r="P169" s="120"/>
      <c r="Q169" s="121"/>
      <c r="R169" s="121"/>
      <c r="S169" s="153"/>
    </row>
    <row r="170" spans="3:29" ht="13.25" hidden="1" customHeight="1" x14ac:dyDescent="0.2">
      <c r="C170" s="321" t="s">
        <v>203</v>
      </c>
      <c r="D170" s="27" t="s">
        <v>201</v>
      </c>
      <c r="E170" s="223">
        <f>IFERROR(E128/12*(E$46-L$81),0)</f>
        <v>0</v>
      </c>
      <c r="F170" s="223">
        <f t="shared" ref="F170:J170" si="151">IFERROR(F128/12*(F$46-M$81),0)</f>
        <v>0</v>
      </c>
      <c r="G170" s="223">
        <f t="shared" si="151"/>
        <v>0</v>
      </c>
      <c r="H170" s="223">
        <f t="shared" si="151"/>
        <v>0</v>
      </c>
      <c r="I170" s="223">
        <f t="shared" si="151"/>
        <v>0</v>
      </c>
      <c r="J170" s="223">
        <f t="shared" si="151"/>
        <v>0</v>
      </c>
      <c r="K170" s="120"/>
      <c r="L170" s="120"/>
      <c r="M170" s="121"/>
      <c r="N170" s="121"/>
      <c r="O170" s="120"/>
      <c r="P170" s="120"/>
      <c r="Q170" s="121"/>
      <c r="R170" s="121"/>
      <c r="S170" s="153"/>
    </row>
    <row r="171" spans="3:29" ht="13.25" hidden="1" customHeight="1" x14ac:dyDescent="0.2">
      <c r="C171" s="321" t="s">
        <v>200</v>
      </c>
      <c r="D171" s="27" t="s">
        <v>429</v>
      </c>
      <c r="E171" s="223">
        <f t="shared" ref="E171:J171" si="152">IFERROR(($D$201-SUM($E$175:$J$175)-SUM($E$180:$J$180))*E167/SUM($E167:$J167),0)</f>
        <v>0</v>
      </c>
      <c r="F171" s="223">
        <f t="shared" si="152"/>
        <v>0</v>
      </c>
      <c r="G171" s="223">
        <f t="shared" si="152"/>
        <v>0</v>
      </c>
      <c r="H171" s="223">
        <f t="shared" si="152"/>
        <v>0</v>
      </c>
      <c r="I171" s="223">
        <f t="shared" si="152"/>
        <v>0</v>
      </c>
      <c r="J171" s="223">
        <f t="shared" si="152"/>
        <v>0</v>
      </c>
      <c r="K171" s="120"/>
      <c r="L171" s="120"/>
      <c r="M171" s="121"/>
      <c r="N171" s="121"/>
      <c r="O171" s="120"/>
      <c r="P171" s="120"/>
      <c r="Q171" s="121"/>
      <c r="R171" s="121"/>
      <c r="S171" s="153"/>
    </row>
    <row r="172" spans="3:29" ht="13.25" hidden="1" customHeight="1" x14ac:dyDescent="0.2">
      <c r="C172" s="321" t="s">
        <v>202</v>
      </c>
      <c r="D172" s="27" t="s">
        <v>429</v>
      </c>
      <c r="E172" s="223">
        <f t="shared" ref="E172:J172" si="153">IFERROR(($D$230-SUM($E$176:$J$176)-SUM($E$181:$J$181))*E168/SUM($E168:$J168),0)</f>
        <v>0</v>
      </c>
      <c r="F172" s="223">
        <f t="shared" si="153"/>
        <v>0</v>
      </c>
      <c r="G172" s="223">
        <f t="shared" si="153"/>
        <v>0</v>
      </c>
      <c r="H172" s="223">
        <f t="shared" si="153"/>
        <v>0</v>
      </c>
      <c r="I172" s="223">
        <f t="shared" si="153"/>
        <v>0</v>
      </c>
      <c r="J172" s="223">
        <f t="shared" si="153"/>
        <v>0</v>
      </c>
      <c r="K172" s="120"/>
      <c r="L172" s="120"/>
      <c r="M172" s="121"/>
      <c r="N172" s="121"/>
      <c r="O172" s="120"/>
      <c r="P172" s="120"/>
      <c r="Q172" s="121"/>
      <c r="R172" s="121"/>
      <c r="S172" s="153"/>
    </row>
    <row r="173" spans="3:29" ht="13.25" hidden="1" customHeight="1" x14ac:dyDescent="0.2">
      <c r="C173" s="321" t="s">
        <v>99</v>
      </c>
      <c r="D173" s="27" t="s">
        <v>429</v>
      </c>
      <c r="E173" s="223">
        <f t="shared" ref="E173:J173" si="154">IFERROR(($D$259-SUM($E$177:$J$177)-SUM($E$182:$J$182))*E169/SUM($E169:$J169),0)</f>
        <v>0</v>
      </c>
      <c r="F173" s="223">
        <f t="shared" si="154"/>
        <v>0</v>
      </c>
      <c r="G173" s="223">
        <f t="shared" si="154"/>
        <v>0</v>
      </c>
      <c r="H173" s="223">
        <f t="shared" si="154"/>
        <v>0</v>
      </c>
      <c r="I173" s="223">
        <f t="shared" si="154"/>
        <v>0</v>
      </c>
      <c r="J173" s="223">
        <f t="shared" si="154"/>
        <v>0</v>
      </c>
      <c r="K173" s="120"/>
      <c r="L173" s="120"/>
      <c r="M173" s="121"/>
      <c r="N173" s="121"/>
      <c r="O173" s="120"/>
      <c r="P173" s="120"/>
      <c r="Q173" s="121"/>
      <c r="R173" s="121"/>
      <c r="S173" s="153"/>
    </row>
    <row r="174" spans="3:29" ht="13.25" hidden="1" customHeight="1" x14ac:dyDescent="0.2">
      <c r="C174" s="321" t="s">
        <v>203</v>
      </c>
      <c r="D174" s="27" t="s">
        <v>429</v>
      </c>
      <c r="E174" s="223">
        <f t="shared" ref="E174:J174" si="155">IFERROR(($D$288-SUM($E$178:$J$179)-SUM($E$183:$J$183))*E170/SUM($E170:$J170),0)</f>
        <v>0</v>
      </c>
      <c r="F174" s="223">
        <f t="shared" si="155"/>
        <v>0</v>
      </c>
      <c r="G174" s="223">
        <f t="shared" si="155"/>
        <v>0</v>
      </c>
      <c r="H174" s="223">
        <f t="shared" si="155"/>
        <v>0</v>
      </c>
      <c r="I174" s="223">
        <f t="shared" si="155"/>
        <v>0</v>
      </c>
      <c r="J174" s="223">
        <f t="shared" si="155"/>
        <v>0</v>
      </c>
      <c r="K174" s="120"/>
      <c r="L174" s="120"/>
      <c r="M174" s="121"/>
      <c r="N174" s="121"/>
      <c r="O174" s="120"/>
      <c r="P174" s="120"/>
      <c r="Q174" s="121"/>
      <c r="R174" s="121"/>
      <c r="S174" s="153"/>
    </row>
    <row r="175" spans="3:29" ht="13.25" hidden="1" customHeight="1" x14ac:dyDescent="0.2">
      <c r="C175" s="321" t="s">
        <v>200</v>
      </c>
      <c r="D175" s="27" t="s">
        <v>98</v>
      </c>
      <c r="E175" s="223">
        <f>IFERROR(E129/12*(E$46-L$81),0)</f>
        <v>0</v>
      </c>
      <c r="F175" s="223">
        <f t="shared" ref="F175:J176" si="156">IFERROR(F129/12*(F$46-M$81),0)</f>
        <v>0</v>
      </c>
      <c r="G175" s="223">
        <f t="shared" si="156"/>
        <v>0</v>
      </c>
      <c r="H175" s="223">
        <f t="shared" si="156"/>
        <v>0</v>
      </c>
      <c r="I175" s="223">
        <f t="shared" si="156"/>
        <v>0</v>
      </c>
      <c r="J175" s="223">
        <f t="shared" si="156"/>
        <v>0</v>
      </c>
      <c r="K175" s="120"/>
      <c r="L175" s="120"/>
      <c r="M175" s="121"/>
      <c r="N175" s="121"/>
      <c r="O175" s="120"/>
      <c r="P175" s="120"/>
      <c r="Q175" s="121"/>
      <c r="R175" s="121"/>
      <c r="S175" s="153"/>
      <c r="X175" s="123"/>
      <c r="Y175" s="123"/>
      <c r="Z175" s="123"/>
      <c r="AA175" s="123"/>
      <c r="AB175" s="123"/>
      <c r="AC175" s="123"/>
    </row>
    <row r="176" spans="3:29" ht="13.25" hidden="1" customHeight="1" x14ac:dyDescent="0.2">
      <c r="C176" s="321" t="s">
        <v>202</v>
      </c>
      <c r="D176" s="27" t="s">
        <v>98</v>
      </c>
      <c r="E176" s="223">
        <f>IFERROR(E130/12*(E$46-L$81),0)</f>
        <v>0</v>
      </c>
      <c r="F176" s="223">
        <f t="shared" si="156"/>
        <v>0</v>
      </c>
      <c r="G176" s="223">
        <f t="shared" si="156"/>
        <v>0</v>
      </c>
      <c r="H176" s="223">
        <f t="shared" si="156"/>
        <v>0</v>
      </c>
      <c r="I176" s="223">
        <f t="shared" si="156"/>
        <v>0</v>
      </c>
      <c r="J176" s="223">
        <f t="shared" si="156"/>
        <v>0</v>
      </c>
      <c r="K176" s="120"/>
      <c r="L176" s="120"/>
      <c r="M176" s="121"/>
      <c r="N176" s="121"/>
      <c r="O176" s="120"/>
      <c r="P176" s="120"/>
      <c r="Q176" s="121"/>
      <c r="R176" s="121"/>
      <c r="S176" s="153"/>
      <c r="X176" s="123"/>
      <c r="Y176" s="123"/>
      <c r="Z176" s="123"/>
      <c r="AA176" s="123"/>
      <c r="AB176" s="123"/>
      <c r="AC176" s="123"/>
    </row>
    <row r="177" spans="1:29" ht="13.25" hidden="1" customHeight="1" x14ac:dyDescent="0.2">
      <c r="C177" s="321" t="s">
        <v>99</v>
      </c>
      <c r="D177" s="27" t="s">
        <v>98</v>
      </c>
      <c r="E177" s="223">
        <f>IFERROR(E131/12*(E$47-L$81),0)</f>
        <v>0</v>
      </c>
      <c r="F177" s="223">
        <f t="shared" ref="F177:J177" si="157">IFERROR(F131/12*(F$47-M$81),0)</f>
        <v>0</v>
      </c>
      <c r="G177" s="223">
        <f t="shared" si="157"/>
        <v>0</v>
      </c>
      <c r="H177" s="223">
        <f t="shared" si="157"/>
        <v>0</v>
      </c>
      <c r="I177" s="223">
        <f t="shared" si="157"/>
        <v>0</v>
      </c>
      <c r="J177" s="223">
        <f t="shared" si="157"/>
        <v>0</v>
      </c>
      <c r="K177" s="120"/>
      <c r="L177" s="120"/>
      <c r="M177" s="121"/>
      <c r="N177" s="121"/>
      <c r="O177" s="120"/>
      <c r="P177" s="120"/>
      <c r="Q177" s="121"/>
      <c r="R177" s="121"/>
      <c r="S177" s="153"/>
      <c r="X177" s="123"/>
      <c r="Y177" s="123"/>
      <c r="Z177" s="123"/>
      <c r="AA177" s="123"/>
      <c r="AB177" s="123"/>
      <c r="AC177" s="123"/>
    </row>
    <row r="178" spans="1:29" ht="13.25" hidden="1" customHeight="1" x14ac:dyDescent="0.2">
      <c r="C178" s="321" t="s">
        <v>203</v>
      </c>
      <c r="D178" s="27" t="s">
        <v>98</v>
      </c>
      <c r="E178" s="223">
        <f>IFERROR(E132/12*(E$46-L$81),0)</f>
        <v>0</v>
      </c>
      <c r="F178" s="223">
        <f t="shared" ref="F178:J179" si="158">IFERROR(F132/12*(F$46-M$81),0)</f>
        <v>0</v>
      </c>
      <c r="G178" s="223">
        <f t="shared" si="158"/>
        <v>0</v>
      </c>
      <c r="H178" s="223">
        <f t="shared" si="158"/>
        <v>0</v>
      </c>
      <c r="I178" s="223">
        <f t="shared" si="158"/>
        <v>0</v>
      </c>
      <c r="J178" s="223">
        <f t="shared" si="158"/>
        <v>0</v>
      </c>
      <c r="K178" s="120"/>
      <c r="L178" s="120"/>
      <c r="M178" s="121"/>
      <c r="N178" s="121"/>
      <c r="O178" s="120"/>
      <c r="P178" s="120"/>
      <c r="Q178" s="121"/>
      <c r="R178" s="121"/>
      <c r="S178" s="153"/>
      <c r="X178" s="123"/>
      <c r="Y178" s="123"/>
      <c r="Z178" s="123"/>
      <c r="AA178" s="123"/>
      <c r="AB178" s="123"/>
      <c r="AC178" s="123"/>
    </row>
    <row r="179" spans="1:29" ht="13.25" hidden="1" customHeight="1" x14ac:dyDescent="0.2">
      <c r="C179" s="321" t="s">
        <v>203</v>
      </c>
      <c r="D179" s="27" t="s">
        <v>257</v>
      </c>
      <c r="E179" s="223">
        <f>IFERROR(E133/12*(E$46-L$81),0)</f>
        <v>0</v>
      </c>
      <c r="F179" s="223">
        <f t="shared" si="158"/>
        <v>0</v>
      </c>
      <c r="G179" s="223">
        <f t="shared" si="158"/>
        <v>0</v>
      </c>
      <c r="H179" s="223">
        <f t="shared" si="158"/>
        <v>0</v>
      </c>
      <c r="I179" s="223">
        <f t="shared" si="158"/>
        <v>0</v>
      </c>
      <c r="J179" s="223">
        <f t="shared" si="158"/>
        <v>0</v>
      </c>
      <c r="K179" s="120"/>
      <c r="L179" s="120"/>
      <c r="M179" s="121"/>
      <c r="N179" s="121"/>
      <c r="O179" s="120"/>
      <c r="P179" s="120"/>
      <c r="Q179" s="121"/>
      <c r="R179" s="121"/>
      <c r="S179" s="153"/>
      <c r="X179" s="123"/>
      <c r="Y179" s="123"/>
      <c r="Z179" s="123"/>
      <c r="AA179" s="123"/>
      <c r="AB179" s="123"/>
      <c r="AC179" s="123"/>
    </row>
    <row r="180" spans="1:29" ht="13.25" hidden="1" customHeight="1" x14ac:dyDescent="0.2">
      <c r="C180" s="321" t="s">
        <v>200</v>
      </c>
      <c r="D180" s="27" t="s">
        <v>107</v>
      </c>
      <c r="E180" s="223">
        <f t="shared" ref="E180:J180" si="159">L201</f>
        <v>0</v>
      </c>
      <c r="F180" s="223">
        <f t="shared" si="159"/>
        <v>0</v>
      </c>
      <c r="G180" s="223">
        <f t="shared" si="159"/>
        <v>0</v>
      </c>
      <c r="H180" s="223">
        <f t="shared" si="159"/>
        <v>0</v>
      </c>
      <c r="I180" s="223">
        <f t="shared" si="159"/>
        <v>0</v>
      </c>
      <c r="J180" s="223">
        <f t="shared" si="159"/>
        <v>0</v>
      </c>
      <c r="K180" s="120"/>
      <c r="L180" s="120"/>
      <c r="M180" s="121"/>
      <c r="N180" s="121"/>
      <c r="O180" s="120"/>
      <c r="P180" s="120"/>
      <c r="Q180" s="121"/>
      <c r="R180" s="121"/>
      <c r="S180" s="153"/>
      <c r="X180" s="123"/>
      <c r="Y180" s="123"/>
      <c r="Z180" s="123"/>
      <c r="AA180" s="123"/>
      <c r="AB180" s="123"/>
      <c r="AC180" s="123"/>
    </row>
    <row r="181" spans="1:29" ht="13.25" hidden="1" customHeight="1" x14ac:dyDescent="0.2">
      <c r="C181" s="321" t="s">
        <v>202</v>
      </c>
      <c r="D181" s="27" t="s">
        <v>107</v>
      </c>
      <c r="E181" s="223">
        <f t="shared" ref="E181:J181" si="160">L230</f>
        <v>0</v>
      </c>
      <c r="F181" s="223">
        <f t="shared" si="160"/>
        <v>0</v>
      </c>
      <c r="G181" s="223">
        <f t="shared" si="160"/>
        <v>0</v>
      </c>
      <c r="H181" s="223">
        <f t="shared" si="160"/>
        <v>0</v>
      </c>
      <c r="I181" s="223">
        <f t="shared" si="160"/>
        <v>0</v>
      </c>
      <c r="J181" s="223">
        <f t="shared" si="160"/>
        <v>0</v>
      </c>
      <c r="K181" s="120"/>
      <c r="L181" s="120"/>
      <c r="M181" s="121"/>
      <c r="N181" s="121"/>
      <c r="O181" s="120"/>
      <c r="P181" s="120"/>
      <c r="Q181" s="121"/>
      <c r="R181" s="121"/>
      <c r="S181" s="153"/>
      <c r="X181" s="123"/>
      <c r="Y181" s="123"/>
      <c r="Z181" s="123"/>
      <c r="AA181" s="123"/>
      <c r="AB181" s="123"/>
      <c r="AC181" s="123"/>
    </row>
    <row r="182" spans="1:29" ht="13.25" hidden="1" customHeight="1" x14ac:dyDescent="0.2">
      <c r="A182" s="123"/>
      <c r="C182" s="321" t="s">
        <v>99</v>
      </c>
      <c r="D182" s="27" t="s">
        <v>107</v>
      </c>
      <c r="E182" s="223">
        <f t="shared" ref="E182:J182" si="161">L259</f>
        <v>0</v>
      </c>
      <c r="F182" s="223">
        <f t="shared" si="161"/>
        <v>0</v>
      </c>
      <c r="G182" s="223">
        <f t="shared" si="161"/>
        <v>0</v>
      </c>
      <c r="H182" s="223">
        <f t="shared" si="161"/>
        <v>0</v>
      </c>
      <c r="I182" s="223">
        <f t="shared" si="161"/>
        <v>0</v>
      </c>
      <c r="J182" s="223">
        <f t="shared" si="161"/>
        <v>0</v>
      </c>
      <c r="K182" s="309"/>
      <c r="L182" s="120"/>
      <c r="M182" s="121"/>
      <c r="N182" s="121"/>
      <c r="O182" s="120"/>
      <c r="P182" s="120"/>
      <c r="Q182" s="121"/>
      <c r="R182" s="121"/>
      <c r="S182" s="153"/>
      <c r="X182" s="123"/>
      <c r="Y182" s="123"/>
      <c r="Z182" s="123"/>
      <c r="AA182" s="123"/>
      <c r="AB182" s="123"/>
      <c r="AC182" s="123"/>
    </row>
    <row r="183" spans="1:29" ht="13.25" hidden="1" customHeight="1" x14ac:dyDescent="0.2">
      <c r="A183" s="123"/>
      <c r="C183" s="321" t="s">
        <v>203</v>
      </c>
      <c r="D183" s="27" t="s">
        <v>107</v>
      </c>
      <c r="E183" s="223">
        <f t="shared" ref="E183:J183" si="162">L288</f>
        <v>0</v>
      </c>
      <c r="F183" s="223">
        <f t="shared" si="162"/>
        <v>0</v>
      </c>
      <c r="G183" s="223">
        <f t="shared" si="162"/>
        <v>0</v>
      </c>
      <c r="H183" s="223">
        <f t="shared" si="162"/>
        <v>0</v>
      </c>
      <c r="I183" s="223">
        <f t="shared" si="162"/>
        <v>0</v>
      </c>
      <c r="J183" s="223">
        <f t="shared" si="162"/>
        <v>0</v>
      </c>
      <c r="K183" s="309"/>
      <c r="L183" s="120"/>
      <c r="M183" s="121"/>
      <c r="N183" s="121"/>
      <c r="O183" s="120"/>
      <c r="P183" s="120"/>
      <c r="Q183" s="121"/>
      <c r="R183" s="121"/>
      <c r="S183" s="153"/>
      <c r="X183" s="123"/>
      <c r="Y183" s="123"/>
      <c r="Z183" s="123"/>
      <c r="AA183" s="123"/>
      <c r="AB183" s="123"/>
      <c r="AC183" s="123"/>
    </row>
    <row r="184" spans="1:29" ht="13.25" hidden="1" customHeight="1" x14ac:dyDescent="0.2">
      <c r="A184" s="123"/>
      <c r="C184" s="319"/>
      <c r="E184" s="322"/>
      <c r="F184" s="322"/>
      <c r="G184" s="322"/>
      <c r="H184" s="322"/>
      <c r="I184" s="322"/>
      <c r="J184" s="322"/>
      <c r="K184" s="120"/>
      <c r="L184" s="120"/>
      <c r="M184" s="121"/>
      <c r="N184" s="121"/>
      <c r="O184" s="120"/>
      <c r="P184" s="120"/>
      <c r="Q184" s="121"/>
      <c r="R184" s="121"/>
      <c r="S184" s="153"/>
      <c r="X184" s="123"/>
      <c r="Y184" s="123"/>
      <c r="Z184" s="123"/>
      <c r="AA184" s="123"/>
      <c r="AB184" s="123"/>
      <c r="AC184" s="123"/>
    </row>
    <row r="185" spans="1:29" ht="13.25" hidden="1" customHeight="1" x14ac:dyDescent="0.2">
      <c r="A185" s="123"/>
      <c r="C185" s="319"/>
      <c r="E185" s="322"/>
      <c r="F185" s="322"/>
      <c r="G185" s="322"/>
      <c r="H185" s="322"/>
      <c r="I185" s="322"/>
      <c r="J185" s="322"/>
      <c r="K185" s="120"/>
      <c r="L185" s="120"/>
      <c r="M185" s="121"/>
      <c r="N185" s="121"/>
      <c r="O185" s="120"/>
      <c r="P185" s="120"/>
      <c r="Q185" s="121"/>
      <c r="R185" s="121"/>
      <c r="S185" s="153"/>
      <c r="X185" s="123"/>
      <c r="Y185" s="123"/>
      <c r="Z185" s="123"/>
      <c r="AA185" s="123"/>
      <c r="AB185" s="123"/>
      <c r="AC185" s="123"/>
    </row>
    <row r="186" spans="1:29" ht="13.25" hidden="1" customHeight="1" x14ac:dyDescent="0.2">
      <c r="A186" s="123"/>
      <c r="C186" s="319"/>
      <c r="E186" s="322"/>
      <c r="F186" s="322"/>
      <c r="G186" s="322"/>
      <c r="H186" s="322"/>
      <c r="I186" s="322"/>
      <c r="J186" s="322"/>
      <c r="K186" s="120"/>
      <c r="L186" s="120"/>
      <c r="M186" s="121"/>
      <c r="N186" s="121"/>
      <c r="O186" s="120"/>
      <c r="P186" s="120"/>
      <c r="Q186" s="121"/>
      <c r="R186" s="121"/>
      <c r="S186" s="153"/>
      <c r="X186" s="123"/>
      <c r="Y186" s="123"/>
      <c r="Z186" s="123"/>
      <c r="AA186" s="123"/>
      <c r="AB186" s="123"/>
      <c r="AC186" s="123"/>
    </row>
    <row r="187" spans="1:29" ht="13.25" hidden="1" customHeight="1" x14ac:dyDescent="0.2">
      <c r="A187" s="123"/>
      <c r="C187" s="321" t="s">
        <v>183</v>
      </c>
      <c r="E187" s="322"/>
      <c r="F187" s="322"/>
      <c r="G187" s="322"/>
      <c r="H187" s="322"/>
      <c r="I187" s="322"/>
      <c r="J187" s="322"/>
      <c r="K187" s="120"/>
      <c r="L187" s="120"/>
      <c r="M187" s="121"/>
      <c r="N187" s="121"/>
      <c r="O187" s="120"/>
      <c r="P187" s="120"/>
      <c r="Q187" s="121"/>
      <c r="R187" s="121"/>
      <c r="S187" s="153"/>
      <c r="X187" s="123"/>
      <c r="Y187" s="123"/>
      <c r="Z187" s="123"/>
      <c r="AA187" s="123"/>
      <c r="AB187" s="123"/>
      <c r="AC187" s="123"/>
    </row>
    <row r="188" spans="1:29" ht="13.25" hidden="1" customHeight="1" x14ac:dyDescent="0.2">
      <c r="A188" s="123"/>
      <c r="E188" s="323"/>
      <c r="F188" s="323"/>
      <c r="G188" s="323"/>
      <c r="H188" s="323"/>
      <c r="I188" s="323"/>
      <c r="J188" s="323"/>
      <c r="K188" s="252" t="s">
        <v>107</v>
      </c>
      <c r="L188" s="120"/>
      <c r="M188" s="121"/>
      <c r="N188" s="121"/>
      <c r="O188" s="120"/>
      <c r="P188" s="120"/>
      <c r="Q188" s="121"/>
      <c r="R188" s="121"/>
      <c r="S188" s="153"/>
      <c r="X188" s="123"/>
      <c r="Y188" s="123"/>
      <c r="Z188" s="123"/>
      <c r="AA188" s="123"/>
      <c r="AB188" s="123"/>
      <c r="AC188" s="123"/>
    </row>
    <row r="189" spans="1:29" ht="13.25" hidden="1" customHeight="1" x14ac:dyDescent="0.2">
      <c r="A189" s="123"/>
      <c r="C189" s="118" t="s">
        <v>210</v>
      </c>
      <c r="D189" s="132">
        <f t="shared" ref="D189:D200" si="163">MIN(ROUNDDOWN(SUM(E189:J189),-2),$T$82)</f>
        <v>0</v>
      </c>
      <c r="E189" s="223">
        <f t="shared" ref="E189:J200" si="164">IF(L35=1, MIN(E$135+L189-(L69*E$135), $T$82), 0)</f>
        <v>0</v>
      </c>
      <c r="F189" s="223">
        <f t="shared" ref="F189:J189" si="165">IF(M35=1, MIN(F$135+M189-(M69*(F$135)), $T$82), 0)</f>
        <v>0</v>
      </c>
      <c r="G189" s="223">
        <f t="shared" si="165"/>
        <v>0</v>
      </c>
      <c r="H189" s="223">
        <f t="shared" si="165"/>
        <v>0</v>
      </c>
      <c r="I189" s="223">
        <f t="shared" si="165"/>
        <v>0</v>
      </c>
      <c r="J189" s="223">
        <f t="shared" si="165"/>
        <v>0</v>
      </c>
      <c r="K189" s="121">
        <f t="array" ref="K189">IF(COUNTIF(L35:Q35,1)=0,0,$T$80+MAX(IF(L35:Q35=1,$E$116:$J$116,-100000))+MAX(IF(L35:Q35=1,$E$120:$J$120,-100000)))</f>
        <v>0</v>
      </c>
      <c r="L189" s="121">
        <f t="shared" ref="L189:Q200" si="166">IFERROR(IF(L35=1,ROUNDUP($K189*1/$R35,0),0),0)</f>
        <v>0</v>
      </c>
      <c r="M189" s="121">
        <f t="shared" si="166"/>
        <v>0</v>
      </c>
      <c r="N189" s="121">
        <f t="shared" si="166"/>
        <v>0</v>
      </c>
      <c r="O189" s="121">
        <f t="shared" si="166"/>
        <v>0</v>
      </c>
      <c r="P189" s="121">
        <f t="shared" si="166"/>
        <v>0</v>
      </c>
      <c r="Q189" s="121">
        <f t="shared" si="166"/>
        <v>0</v>
      </c>
      <c r="R189" s="121"/>
      <c r="S189" s="153"/>
      <c r="X189" s="123"/>
      <c r="Y189" s="123"/>
      <c r="Z189" s="123"/>
      <c r="AA189" s="123"/>
      <c r="AB189" s="123"/>
      <c r="AC189" s="123"/>
    </row>
    <row r="190" spans="1:29" ht="13.25" hidden="1" customHeight="1" x14ac:dyDescent="0.2">
      <c r="A190" s="123"/>
      <c r="C190" s="118" t="s">
        <v>211</v>
      </c>
      <c r="D190" s="132">
        <f t="shared" si="163"/>
        <v>0</v>
      </c>
      <c r="E190" s="223">
        <f t="shared" si="164"/>
        <v>0</v>
      </c>
      <c r="F190" s="223">
        <f t="shared" si="164"/>
        <v>0</v>
      </c>
      <c r="G190" s="223">
        <f t="shared" si="164"/>
        <v>0</v>
      </c>
      <c r="H190" s="223">
        <f t="shared" si="164"/>
        <v>0</v>
      </c>
      <c r="I190" s="223">
        <f t="shared" si="164"/>
        <v>0</v>
      </c>
      <c r="J190" s="223">
        <f t="shared" si="164"/>
        <v>0</v>
      </c>
      <c r="K190" s="121">
        <f t="array" ref="K190">IF(COUNTIF(L36:Q36,1)=0,0,$T$80+MAX(IF(L36:Q36=1,$E$116:$J$116,-100000))+MAX(IF(L36:Q36=1,$E$120:$J$120,-100000)))</f>
        <v>0</v>
      </c>
      <c r="L190" s="121">
        <f t="shared" si="166"/>
        <v>0</v>
      </c>
      <c r="M190" s="121">
        <f t="shared" si="166"/>
        <v>0</v>
      </c>
      <c r="N190" s="121">
        <f t="shared" si="166"/>
        <v>0</v>
      </c>
      <c r="O190" s="121">
        <f t="shared" si="166"/>
        <v>0</v>
      </c>
      <c r="P190" s="121">
        <f t="shared" si="166"/>
        <v>0</v>
      </c>
      <c r="Q190" s="121">
        <f t="shared" si="166"/>
        <v>0</v>
      </c>
      <c r="R190" s="121"/>
      <c r="S190" s="153"/>
      <c r="X190" s="123"/>
      <c r="Y190" s="123"/>
      <c r="Z190" s="123"/>
      <c r="AA190" s="123"/>
      <c r="AB190" s="123"/>
      <c r="AC190" s="123"/>
    </row>
    <row r="191" spans="1:29" ht="13.25" hidden="1" customHeight="1" x14ac:dyDescent="0.2">
      <c r="A191" s="123"/>
      <c r="C191" s="118" t="s">
        <v>212</v>
      </c>
      <c r="D191" s="132">
        <f t="shared" si="163"/>
        <v>0</v>
      </c>
      <c r="E191" s="223">
        <f t="shared" si="164"/>
        <v>0</v>
      </c>
      <c r="F191" s="223">
        <f t="shared" si="164"/>
        <v>0</v>
      </c>
      <c r="G191" s="223">
        <f t="shared" si="164"/>
        <v>0</v>
      </c>
      <c r="H191" s="223">
        <f t="shared" si="164"/>
        <v>0</v>
      </c>
      <c r="I191" s="223">
        <f t="shared" si="164"/>
        <v>0</v>
      </c>
      <c r="J191" s="223">
        <f t="shared" si="164"/>
        <v>0</v>
      </c>
      <c r="K191" s="121">
        <f t="array" ref="K191">IF(COUNTIF(L37:Q37,1)=0,0,$T$80+MAX(IF(L37:Q37=1,$E$116:$J$116,-100000))+MAX(IF(L37:Q37=1,$E$120:$J$120,-100000)))</f>
        <v>0</v>
      </c>
      <c r="L191" s="121">
        <f t="shared" si="166"/>
        <v>0</v>
      </c>
      <c r="M191" s="121">
        <f t="shared" si="166"/>
        <v>0</v>
      </c>
      <c r="N191" s="121">
        <f t="shared" si="166"/>
        <v>0</v>
      </c>
      <c r="O191" s="121">
        <f t="shared" si="166"/>
        <v>0</v>
      </c>
      <c r="P191" s="121">
        <f t="shared" si="166"/>
        <v>0</v>
      </c>
      <c r="Q191" s="121">
        <f t="shared" si="166"/>
        <v>0</v>
      </c>
      <c r="R191" s="121"/>
      <c r="S191" s="153"/>
      <c r="X191" s="123"/>
      <c r="Y191" s="123"/>
      <c r="Z191" s="123"/>
      <c r="AA191" s="123"/>
      <c r="AB191" s="123"/>
      <c r="AC191" s="123"/>
    </row>
    <row r="192" spans="1:29" ht="13.25" hidden="1" customHeight="1" x14ac:dyDescent="0.2">
      <c r="C192" s="118" t="s">
        <v>213</v>
      </c>
      <c r="D192" s="132">
        <f t="shared" si="163"/>
        <v>0</v>
      </c>
      <c r="E192" s="223">
        <f t="shared" si="164"/>
        <v>0</v>
      </c>
      <c r="F192" s="223">
        <f t="shared" si="164"/>
        <v>0</v>
      </c>
      <c r="G192" s="223">
        <f t="shared" si="164"/>
        <v>0</v>
      </c>
      <c r="H192" s="223">
        <f t="shared" si="164"/>
        <v>0</v>
      </c>
      <c r="I192" s="223">
        <f t="shared" si="164"/>
        <v>0</v>
      </c>
      <c r="J192" s="223">
        <f t="shared" si="164"/>
        <v>0</v>
      </c>
      <c r="K192" s="121">
        <f t="array" ref="K192">IF(COUNTIF(L38:Q38,1)=0,0,$T$80+MAX(IF(L38:Q38=1,$E$116:$J$116,-100000))+MAX(IF(L38:Q38=1,$E$120:$J$120,-100000)))</f>
        <v>0</v>
      </c>
      <c r="L192" s="121">
        <f t="shared" si="166"/>
        <v>0</v>
      </c>
      <c r="M192" s="121">
        <f t="shared" si="166"/>
        <v>0</v>
      </c>
      <c r="N192" s="121">
        <f t="shared" si="166"/>
        <v>0</v>
      </c>
      <c r="O192" s="121">
        <f t="shared" si="166"/>
        <v>0</v>
      </c>
      <c r="P192" s="121">
        <f t="shared" si="166"/>
        <v>0</v>
      </c>
      <c r="Q192" s="121">
        <f t="shared" si="166"/>
        <v>0</v>
      </c>
      <c r="R192" s="121"/>
      <c r="S192" s="153"/>
      <c r="X192" s="123"/>
      <c r="Y192" s="123"/>
      <c r="Z192" s="123"/>
      <c r="AA192" s="123"/>
      <c r="AB192" s="123"/>
      <c r="AC192" s="123"/>
    </row>
    <row r="193" spans="1:34" ht="13.25" hidden="1" customHeight="1" x14ac:dyDescent="0.2">
      <c r="C193" s="118" t="s">
        <v>214</v>
      </c>
      <c r="D193" s="132">
        <f t="shared" si="163"/>
        <v>0</v>
      </c>
      <c r="E193" s="223">
        <f t="shared" si="164"/>
        <v>0</v>
      </c>
      <c r="F193" s="223">
        <f t="shared" si="164"/>
        <v>0</v>
      </c>
      <c r="G193" s="223">
        <f t="shared" si="164"/>
        <v>0</v>
      </c>
      <c r="H193" s="223">
        <f t="shared" si="164"/>
        <v>0</v>
      </c>
      <c r="I193" s="223">
        <f t="shared" si="164"/>
        <v>0</v>
      </c>
      <c r="J193" s="223">
        <f t="shared" si="164"/>
        <v>0</v>
      </c>
      <c r="K193" s="121">
        <f t="array" ref="K193">IF(COUNTIF(L39:Q39,1)=0,0,$T$80+MAX(IF(L39:Q39=1,$E$116:$J$116,-100000))+MAX(IF(L39:Q39=1,$E$120:$J$120,-100000)))</f>
        <v>0</v>
      </c>
      <c r="L193" s="121">
        <f t="shared" si="166"/>
        <v>0</v>
      </c>
      <c r="M193" s="121">
        <f t="shared" si="166"/>
        <v>0</v>
      </c>
      <c r="N193" s="121">
        <f t="shared" si="166"/>
        <v>0</v>
      </c>
      <c r="O193" s="121">
        <f t="shared" si="166"/>
        <v>0</v>
      </c>
      <c r="P193" s="121">
        <f t="shared" si="166"/>
        <v>0</v>
      </c>
      <c r="Q193" s="121">
        <f t="shared" si="166"/>
        <v>0</v>
      </c>
      <c r="R193" s="121"/>
      <c r="S193" s="153"/>
      <c r="X193" s="123"/>
      <c r="Y193" s="123"/>
      <c r="Z193" s="123"/>
      <c r="AA193" s="123"/>
      <c r="AB193" s="123"/>
      <c r="AC193" s="123"/>
    </row>
    <row r="194" spans="1:34" ht="13.25" hidden="1" customHeight="1" x14ac:dyDescent="0.2">
      <c r="C194" s="118" t="s">
        <v>215</v>
      </c>
      <c r="D194" s="132">
        <f t="shared" si="163"/>
        <v>0</v>
      </c>
      <c r="E194" s="223">
        <f t="shared" si="164"/>
        <v>0</v>
      </c>
      <c r="F194" s="223">
        <f t="shared" si="164"/>
        <v>0</v>
      </c>
      <c r="G194" s="223">
        <f t="shared" si="164"/>
        <v>0</v>
      </c>
      <c r="H194" s="223">
        <f t="shared" si="164"/>
        <v>0</v>
      </c>
      <c r="I194" s="223">
        <f t="shared" si="164"/>
        <v>0</v>
      </c>
      <c r="J194" s="223">
        <f t="shared" si="164"/>
        <v>0</v>
      </c>
      <c r="K194" s="121">
        <f t="array" ref="K194">IF(COUNTIF(L40:Q40,1)=0,0,$T$80+MAX(IF(L40:Q40=1,$E$116:$J$116,-100000))+MAX(IF(L40:Q40=1,$E$120:$J$120,-100000)))</f>
        <v>0</v>
      </c>
      <c r="L194" s="121">
        <f t="shared" si="166"/>
        <v>0</v>
      </c>
      <c r="M194" s="121">
        <f t="shared" si="166"/>
        <v>0</v>
      </c>
      <c r="N194" s="121">
        <f t="shared" si="166"/>
        <v>0</v>
      </c>
      <c r="O194" s="121">
        <f t="shared" si="166"/>
        <v>0</v>
      </c>
      <c r="P194" s="121">
        <f t="shared" si="166"/>
        <v>0</v>
      </c>
      <c r="Q194" s="121">
        <f t="shared" si="166"/>
        <v>0</v>
      </c>
      <c r="R194" s="121"/>
      <c r="S194" s="153"/>
      <c r="X194" s="123"/>
      <c r="Y194" s="123"/>
      <c r="Z194" s="123"/>
      <c r="AA194" s="123"/>
      <c r="AB194" s="123"/>
      <c r="AC194" s="123"/>
    </row>
    <row r="195" spans="1:34" ht="13.25" hidden="1" customHeight="1" x14ac:dyDescent="0.2">
      <c r="C195" s="118" t="s">
        <v>216</v>
      </c>
      <c r="D195" s="132">
        <f t="shared" si="163"/>
        <v>0</v>
      </c>
      <c r="E195" s="223">
        <f t="shared" si="164"/>
        <v>0</v>
      </c>
      <c r="F195" s="223">
        <f t="shared" si="164"/>
        <v>0</v>
      </c>
      <c r="G195" s="223">
        <f t="shared" si="164"/>
        <v>0</v>
      </c>
      <c r="H195" s="223">
        <f t="shared" si="164"/>
        <v>0</v>
      </c>
      <c r="I195" s="223">
        <f t="shared" si="164"/>
        <v>0</v>
      </c>
      <c r="J195" s="223">
        <f t="shared" si="164"/>
        <v>0</v>
      </c>
      <c r="K195" s="121">
        <f t="array" ref="K195">IF(COUNTIF(L41:Q41,1)=0,0,$T$80+MAX(IF(L41:Q41=1,$E$116:$J$116,-100000))+MAX(IF(L41:Q41=1,$E$120:$J$120,-100000)))</f>
        <v>0</v>
      </c>
      <c r="L195" s="121">
        <f t="shared" si="166"/>
        <v>0</v>
      </c>
      <c r="M195" s="121">
        <f t="shared" si="166"/>
        <v>0</v>
      </c>
      <c r="N195" s="121">
        <f t="shared" si="166"/>
        <v>0</v>
      </c>
      <c r="O195" s="121">
        <f t="shared" si="166"/>
        <v>0</v>
      </c>
      <c r="P195" s="121">
        <f t="shared" si="166"/>
        <v>0</v>
      </c>
      <c r="Q195" s="121">
        <f t="shared" si="166"/>
        <v>0</v>
      </c>
      <c r="R195" s="121"/>
      <c r="S195" s="153"/>
      <c r="X195" s="123"/>
      <c r="Y195" s="123"/>
      <c r="Z195" s="123"/>
      <c r="AA195" s="123"/>
      <c r="AB195" s="123"/>
      <c r="AC195" s="123"/>
    </row>
    <row r="196" spans="1:34" ht="13.25" hidden="1" customHeight="1" x14ac:dyDescent="0.2">
      <c r="C196" s="118" t="s">
        <v>217</v>
      </c>
      <c r="D196" s="132">
        <f t="shared" si="163"/>
        <v>0</v>
      </c>
      <c r="E196" s="223">
        <f t="shared" si="164"/>
        <v>0</v>
      </c>
      <c r="F196" s="223">
        <f t="shared" si="164"/>
        <v>0</v>
      </c>
      <c r="G196" s="223">
        <f t="shared" si="164"/>
        <v>0</v>
      </c>
      <c r="H196" s="223">
        <f t="shared" si="164"/>
        <v>0</v>
      </c>
      <c r="I196" s="223">
        <f t="shared" si="164"/>
        <v>0</v>
      </c>
      <c r="J196" s="223">
        <f t="shared" si="164"/>
        <v>0</v>
      </c>
      <c r="K196" s="121">
        <f t="array" ref="K196">IF(COUNTIF(L42:Q42,1)=0,0,$T$80+MAX(IF(L42:Q42=1,$E$116:$J$116,-100000))+MAX(IF(L42:Q42=1,$E$120:$J$120,-100000)))</f>
        <v>0</v>
      </c>
      <c r="L196" s="121">
        <f t="shared" si="166"/>
        <v>0</v>
      </c>
      <c r="M196" s="121">
        <f t="shared" si="166"/>
        <v>0</v>
      </c>
      <c r="N196" s="121">
        <f t="shared" si="166"/>
        <v>0</v>
      </c>
      <c r="O196" s="121">
        <f t="shared" si="166"/>
        <v>0</v>
      </c>
      <c r="P196" s="121">
        <f t="shared" si="166"/>
        <v>0</v>
      </c>
      <c r="Q196" s="121">
        <f t="shared" si="166"/>
        <v>0</v>
      </c>
      <c r="R196" s="121"/>
      <c r="S196" s="153"/>
      <c r="X196" s="123"/>
      <c r="Y196" s="123"/>
      <c r="Z196" s="123"/>
      <c r="AA196" s="123"/>
      <c r="AB196" s="123"/>
      <c r="AC196" s="123"/>
    </row>
    <row r="197" spans="1:34" ht="13.25" hidden="1" customHeight="1" x14ac:dyDescent="0.2">
      <c r="C197" s="118" t="s">
        <v>218</v>
      </c>
      <c r="D197" s="132">
        <f t="shared" si="163"/>
        <v>0</v>
      </c>
      <c r="E197" s="223">
        <f t="shared" si="164"/>
        <v>0</v>
      </c>
      <c r="F197" s="223">
        <f t="shared" si="164"/>
        <v>0</v>
      </c>
      <c r="G197" s="223">
        <f t="shared" si="164"/>
        <v>0</v>
      </c>
      <c r="H197" s="223">
        <f t="shared" si="164"/>
        <v>0</v>
      </c>
      <c r="I197" s="223">
        <f t="shared" si="164"/>
        <v>0</v>
      </c>
      <c r="J197" s="223">
        <f t="shared" si="164"/>
        <v>0</v>
      </c>
      <c r="K197" s="121">
        <f t="array" ref="K197">IF(COUNTIF(L43:Q43,1)=0,0,$T$80+MAX(IF(L43:Q43=1,$E$116:$J$116,-100000))+MAX(IF(L43:Q43=1,$E$120:$J$120,-100000)))</f>
        <v>0</v>
      </c>
      <c r="L197" s="121">
        <f t="shared" si="166"/>
        <v>0</v>
      </c>
      <c r="M197" s="121">
        <f t="shared" si="166"/>
        <v>0</v>
      </c>
      <c r="N197" s="121">
        <f t="shared" si="166"/>
        <v>0</v>
      </c>
      <c r="O197" s="121">
        <f t="shared" si="166"/>
        <v>0</v>
      </c>
      <c r="P197" s="121">
        <f t="shared" si="166"/>
        <v>0</v>
      </c>
      <c r="Q197" s="121">
        <f t="shared" si="166"/>
        <v>0</v>
      </c>
      <c r="R197" s="121"/>
      <c r="S197" s="153"/>
      <c r="X197" s="123"/>
      <c r="Y197" s="123"/>
      <c r="Z197" s="123"/>
      <c r="AA197" s="123"/>
      <c r="AB197" s="123"/>
      <c r="AC197" s="123"/>
    </row>
    <row r="198" spans="1:34" ht="13.25" hidden="1" customHeight="1" x14ac:dyDescent="0.2">
      <c r="C198" s="118" t="s">
        <v>219</v>
      </c>
      <c r="D198" s="132">
        <f t="shared" si="163"/>
        <v>0</v>
      </c>
      <c r="E198" s="223">
        <f t="shared" si="164"/>
        <v>0</v>
      </c>
      <c r="F198" s="223">
        <f t="shared" si="164"/>
        <v>0</v>
      </c>
      <c r="G198" s="223">
        <f t="shared" si="164"/>
        <v>0</v>
      </c>
      <c r="H198" s="223">
        <f t="shared" si="164"/>
        <v>0</v>
      </c>
      <c r="I198" s="223">
        <f t="shared" si="164"/>
        <v>0</v>
      </c>
      <c r="J198" s="223">
        <f t="shared" si="164"/>
        <v>0</v>
      </c>
      <c r="K198" s="121">
        <f t="array" ref="K198">IF(COUNTIF(L44:Q44,1)=0,0,$T$80+MAX(IF(L44:Q44=1,$E$116:$J$116,-100000))+MAX(IF(L44:Q44=1,$E$120:$J$120,-100000)))</f>
        <v>0</v>
      </c>
      <c r="L198" s="121">
        <f t="shared" si="166"/>
        <v>0</v>
      </c>
      <c r="M198" s="121">
        <f t="shared" si="166"/>
        <v>0</v>
      </c>
      <c r="N198" s="121">
        <f t="shared" si="166"/>
        <v>0</v>
      </c>
      <c r="O198" s="121">
        <f t="shared" si="166"/>
        <v>0</v>
      </c>
      <c r="P198" s="121">
        <f t="shared" si="166"/>
        <v>0</v>
      </c>
      <c r="Q198" s="121">
        <f t="shared" si="166"/>
        <v>0</v>
      </c>
      <c r="R198" s="121"/>
      <c r="S198" s="153"/>
      <c r="X198" s="123"/>
      <c r="Y198" s="123"/>
      <c r="Z198" s="123"/>
      <c r="AA198" s="123"/>
      <c r="AB198" s="123"/>
      <c r="AC198" s="123"/>
    </row>
    <row r="199" spans="1:34" ht="13.25" hidden="1" customHeight="1" x14ac:dyDescent="0.2">
      <c r="C199" s="118" t="s">
        <v>220</v>
      </c>
      <c r="D199" s="132">
        <f t="shared" si="163"/>
        <v>0</v>
      </c>
      <c r="E199" s="223">
        <f t="shared" si="164"/>
        <v>0</v>
      </c>
      <c r="F199" s="223">
        <f t="shared" si="164"/>
        <v>0</v>
      </c>
      <c r="G199" s="223">
        <f t="shared" si="164"/>
        <v>0</v>
      </c>
      <c r="H199" s="223">
        <f t="shared" si="164"/>
        <v>0</v>
      </c>
      <c r="I199" s="223">
        <f t="shared" si="164"/>
        <v>0</v>
      </c>
      <c r="J199" s="223">
        <f t="shared" si="164"/>
        <v>0</v>
      </c>
      <c r="K199" s="121">
        <f t="array" ref="K199">IF(COUNTIF(L45:Q45,1)=0,0,$T$80+MAX(IF(L45:Q45=1,$E$116:$J$116,-100000))+MAX(IF(L45:Q45=1,$E$120:$J$120,-100000)))</f>
        <v>0</v>
      </c>
      <c r="L199" s="121">
        <f t="shared" si="166"/>
        <v>0</v>
      </c>
      <c r="M199" s="121">
        <f t="shared" si="166"/>
        <v>0</v>
      </c>
      <c r="N199" s="121">
        <f t="shared" si="166"/>
        <v>0</v>
      </c>
      <c r="O199" s="121">
        <f t="shared" si="166"/>
        <v>0</v>
      </c>
      <c r="P199" s="121">
        <f t="shared" si="166"/>
        <v>0</v>
      </c>
      <c r="Q199" s="121">
        <f t="shared" si="166"/>
        <v>0</v>
      </c>
      <c r="R199" s="121"/>
      <c r="S199" s="153"/>
      <c r="X199" s="123"/>
      <c r="Y199" s="123"/>
      <c r="Z199" s="123"/>
      <c r="AA199" s="123"/>
      <c r="AB199" s="123"/>
      <c r="AC199" s="123"/>
    </row>
    <row r="200" spans="1:34" ht="13.25" hidden="1" customHeight="1" x14ac:dyDescent="0.2">
      <c r="C200" s="118" t="s">
        <v>221</v>
      </c>
      <c r="D200" s="132">
        <f t="shared" si="163"/>
        <v>0</v>
      </c>
      <c r="E200" s="223">
        <f t="shared" si="164"/>
        <v>0</v>
      </c>
      <c r="F200" s="223">
        <f t="shared" si="164"/>
        <v>0</v>
      </c>
      <c r="G200" s="223">
        <f t="shared" si="164"/>
        <v>0</v>
      </c>
      <c r="H200" s="223">
        <f t="shared" si="164"/>
        <v>0</v>
      </c>
      <c r="I200" s="223">
        <f t="shared" si="164"/>
        <v>0</v>
      </c>
      <c r="J200" s="223">
        <f t="shared" si="164"/>
        <v>0</v>
      </c>
      <c r="K200" s="121">
        <f t="array" ref="K200">IF(COUNTIF(L46:Q46,1)=0,0,$T$80+MAX(IF(L46:Q46=1,$E$116:$J$116,-100000))+MAX(IF(L46:Q46=1,$E$120:$J$120,-100000)))</f>
        <v>0</v>
      </c>
      <c r="L200" s="121">
        <f t="shared" si="166"/>
        <v>0</v>
      </c>
      <c r="M200" s="121">
        <f t="shared" si="166"/>
        <v>0</v>
      </c>
      <c r="N200" s="121">
        <f t="shared" si="166"/>
        <v>0</v>
      </c>
      <c r="O200" s="121">
        <f t="shared" si="166"/>
        <v>0</v>
      </c>
      <c r="P200" s="121">
        <f t="shared" si="166"/>
        <v>0</v>
      </c>
      <c r="Q200" s="121">
        <f t="shared" si="166"/>
        <v>0</v>
      </c>
      <c r="R200" s="121"/>
      <c r="S200" s="324"/>
      <c r="X200" s="123"/>
      <c r="Y200" s="123"/>
      <c r="Z200" s="123"/>
      <c r="AA200" s="123"/>
      <c r="AB200" s="123"/>
      <c r="AC200" s="123"/>
    </row>
    <row r="201" spans="1:34" ht="13.25" hidden="1" customHeight="1" x14ac:dyDescent="0.2">
      <c r="C201" s="311" t="s">
        <v>222</v>
      </c>
      <c r="D201" s="325">
        <f>ROUNDDOWN(SUM(D189:D200)/12,-2)</f>
        <v>0</v>
      </c>
      <c r="E201" s="326">
        <f t="shared" ref="E201:Q201" si="167">AVERAGE(E189:E200)</f>
        <v>0</v>
      </c>
      <c r="F201" s="326">
        <f t="shared" si="167"/>
        <v>0</v>
      </c>
      <c r="G201" s="326">
        <f t="shared" si="167"/>
        <v>0</v>
      </c>
      <c r="H201" s="326">
        <f t="shared" si="167"/>
        <v>0</v>
      </c>
      <c r="I201" s="326">
        <f t="shared" si="167"/>
        <v>0</v>
      </c>
      <c r="J201" s="326">
        <f t="shared" si="167"/>
        <v>0</v>
      </c>
      <c r="K201" s="207">
        <f t="shared" si="167"/>
        <v>0</v>
      </c>
      <c r="L201" s="207">
        <f t="shared" si="167"/>
        <v>0</v>
      </c>
      <c r="M201" s="207">
        <f t="shared" si="167"/>
        <v>0</v>
      </c>
      <c r="N201" s="207">
        <f t="shared" si="167"/>
        <v>0</v>
      </c>
      <c r="O201" s="207">
        <f t="shared" si="167"/>
        <v>0</v>
      </c>
      <c r="P201" s="207">
        <f t="shared" si="167"/>
        <v>0</v>
      </c>
      <c r="Q201" s="207">
        <f t="shared" si="167"/>
        <v>0</v>
      </c>
      <c r="R201" s="121"/>
      <c r="S201" s="153"/>
      <c r="X201" s="123"/>
      <c r="Y201" s="123"/>
      <c r="Z201" s="123"/>
      <c r="AA201" s="123"/>
      <c r="AB201" s="123"/>
      <c r="AC201" s="123"/>
    </row>
    <row r="202" spans="1:34" ht="13.25" hidden="1" customHeight="1" x14ac:dyDescent="0.2">
      <c r="C202" s="311"/>
      <c r="D202" s="325"/>
      <c r="E202" s="327"/>
      <c r="F202" s="327"/>
      <c r="G202" s="327"/>
      <c r="H202" s="327"/>
      <c r="I202" s="327"/>
      <c r="J202" s="327"/>
      <c r="K202" s="120"/>
      <c r="L202" s="120"/>
      <c r="M202" s="121"/>
      <c r="N202" s="121"/>
      <c r="O202" s="120"/>
      <c r="P202" s="120"/>
      <c r="Q202" s="121"/>
      <c r="R202" s="121"/>
      <c r="S202" s="153"/>
      <c r="X202" s="123"/>
      <c r="Y202" s="123"/>
      <c r="Z202" s="123"/>
      <c r="AA202" s="123"/>
      <c r="AB202" s="123"/>
      <c r="AC202" s="123"/>
    </row>
    <row r="203" spans="1:34" ht="13.25" hidden="1" customHeight="1" x14ac:dyDescent="0.2">
      <c r="C203" s="118" t="s">
        <v>370</v>
      </c>
      <c r="D203" s="132">
        <f t="shared" ref="D203:D214" si="168">D189</f>
        <v>0</v>
      </c>
      <c r="E203" s="223">
        <f t="shared" ref="E203:J214" si="169">IFERROR(ROUNDUP($D203*E189/SUM($E189:$J189),0),0)</f>
        <v>0</v>
      </c>
      <c r="F203" s="223">
        <f t="shared" si="169"/>
        <v>0</v>
      </c>
      <c r="G203" s="223">
        <f t="shared" si="169"/>
        <v>0</v>
      </c>
      <c r="H203" s="223">
        <f t="shared" si="169"/>
        <v>0</v>
      </c>
      <c r="I203" s="223">
        <f t="shared" si="169"/>
        <v>0</v>
      </c>
      <c r="J203" s="223">
        <f t="shared" si="169"/>
        <v>0</v>
      </c>
      <c r="K203" s="120"/>
      <c r="L203" s="120"/>
      <c r="M203" s="121"/>
      <c r="N203" s="121"/>
      <c r="O203" s="120"/>
      <c r="P203" s="120"/>
      <c r="Q203" s="121"/>
      <c r="R203" s="121"/>
      <c r="S203" s="153"/>
      <c r="X203" s="123"/>
      <c r="Y203" s="123"/>
      <c r="Z203" s="123"/>
      <c r="AA203" s="123"/>
      <c r="AB203" s="123"/>
      <c r="AC203" s="123"/>
    </row>
    <row r="204" spans="1:34" ht="13.25" hidden="1" customHeight="1" x14ac:dyDescent="0.2">
      <c r="C204" s="118" t="s">
        <v>371</v>
      </c>
      <c r="D204" s="132">
        <f t="shared" si="168"/>
        <v>0</v>
      </c>
      <c r="E204" s="223">
        <f t="shared" si="169"/>
        <v>0</v>
      </c>
      <c r="F204" s="223">
        <f t="shared" si="169"/>
        <v>0</v>
      </c>
      <c r="G204" s="223">
        <f t="shared" si="169"/>
        <v>0</v>
      </c>
      <c r="H204" s="223">
        <f t="shared" si="169"/>
        <v>0</v>
      </c>
      <c r="I204" s="223">
        <f t="shared" si="169"/>
        <v>0</v>
      </c>
      <c r="J204" s="223">
        <f t="shared" si="169"/>
        <v>0</v>
      </c>
      <c r="K204" s="120"/>
      <c r="L204" s="120"/>
      <c r="M204" s="121"/>
      <c r="N204" s="121"/>
      <c r="O204" s="120"/>
      <c r="P204" s="120"/>
      <c r="Q204" s="121"/>
      <c r="R204" s="121"/>
      <c r="S204" s="153"/>
      <c r="X204" s="123"/>
      <c r="Y204" s="123"/>
      <c r="Z204" s="123"/>
      <c r="AA204" s="123"/>
      <c r="AB204" s="123"/>
      <c r="AC204" s="123"/>
    </row>
    <row r="205" spans="1:34" ht="13.25" hidden="1" customHeight="1" x14ac:dyDescent="0.2">
      <c r="C205" s="118" t="s">
        <v>372</v>
      </c>
      <c r="D205" s="132">
        <f t="shared" si="168"/>
        <v>0</v>
      </c>
      <c r="E205" s="223">
        <f t="shared" si="169"/>
        <v>0</v>
      </c>
      <c r="F205" s="223">
        <f t="shared" si="169"/>
        <v>0</v>
      </c>
      <c r="G205" s="223">
        <f t="shared" si="169"/>
        <v>0</v>
      </c>
      <c r="H205" s="223">
        <f t="shared" si="169"/>
        <v>0</v>
      </c>
      <c r="I205" s="223">
        <f t="shared" si="169"/>
        <v>0</v>
      </c>
      <c r="J205" s="223">
        <f t="shared" si="169"/>
        <v>0</v>
      </c>
      <c r="K205" s="120"/>
      <c r="L205" s="120"/>
      <c r="M205" s="121"/>
      <c r="N205" s="121"/>
      <c r="O205" s="120"/>
      <c r="P205" s="120"/>
      <c r="Q205" s="121"/>
      <c r="R205" s="121"/>
      <c r="S205" s="153"/>
      <c r="X205" s="123"/>
      <c r="Y205" s="123"/>
      <c r="Z205" s="123"/>
      <c r="AA205" s="123"/>
      <c r="AB205" s="123"/>
      <c r="AC205" s="123"/>
    </row>
    <row r="206" spans="1:34" ht="13.25" hidden="1" customHeight="1" x14ac:dyDescent="0.2">
      <c r="C206" s="118" t="s">
        <v>373</v>
      </c>
      <c r="D206" s="132">
        <f t="shared" si="168"/>
        <v>0</v>
      </c>
      <c r="E206" s="223">
        <f t="shared" si="169"/>
        <v>0</v>
      </c>
      <c r="F206" s="223">
        <f t="shared" si="169"/>
        <v>0</v>
      </c>
      <c r="G206" s="223">
        <f t="shared" si="169"/>
        <v>0</v>
      </c>
      <c r="H206" s="223">
        <f t="shared" si="169"/>
        <v>0</v>
      </c>
      <c r="I206" s="223">
        <f t="shared" si="169"/>
        <v>0</v>
      </c>
      <c r="J206" s="223">
        <f t="shared" si="169"/>
        <v>0</v>
      </c>
      <c r="K206" s="120"/>
      <c r="L206" s="120"/>
      <c r="M206" s="121"/>
      <c r="N206" s="121"/>
      <c r="O206" s="120"/>
      <c r="P206" s="120"/>
      <c r="Q206" s="121"/>
      <c r="R206" s="121"/>
      <c r="S206" s="328"/>
      <c r="X206" s="123"/>
      <c r="Y206" s="123"/>
      <c r="Z206" s="123"/>
      <c r="AA206" s="123"/>
      <c r="AB206" s="123"/>
      <c r="AC206" s="123"/>
    </row>
    <row r="207" spans="1:34" ht="13.25" hidden="1" customHeight="1" x14ac:dyDescent="0.2">
      <c r="C207" s="118" t="s">
        <v>374</v>
      </c>
      <c r="D207" s="132">
        <f t="shared" si="168"/>
        <v>0</v>
      </c>
      <c r="E207" s="223">
        <f t="shared" si="169"/>
        <v>0</v>
      </c>
      <c r="F207" s="223">
        <f t="shared" si="169"/>
        <v>0</v>
      </c>
      <c r="G207" s="223">
        <f t="shared" si="169"/>
        <v>0</v>
      </c>
      <c r="H207" s="223">
        <f t="shared" si="169"/>
        <v>0</v>
      </c>
      <c r="I207" s="223">
        <f t="shared" si="169"/>
        <v>0</v>
      </c>
      <c r="J207" s="223">
        <f t="shared" si="169"/>
        <v>0</v>
      </c>
      <c r="K207" s="120"/>
      <c r="L207" s="120"/>
      <c r="M207" s="121"/>
      <c r="N207" s="121"/>
      <c r="O207" s="120"/>
      <c r="P207" s="120"/>
      <c r="Q207" s="121"/>
      <c r="R207" s="121"/>
      <c r="S207" s="328"/>
      <c r="X207" s="123"/>
      <c r="Y207" s="123"/>
      <c r="Z207" s="123"/>
      <c r="AA207" s="123"/>
      <c r="AB207" s="123"/>
      <c r="AC207" s="123"/>
    </row>
    <row r="208" spans="1:34" s="329" customFormat="1" ht="13.25" hidden="1" customHeight="1" x14ac:dyDescent="0.2">
      <c r="A208" s="27"/>
      <c r="B208" s="32"/>
      <c r="C208" s="118" t="s">
        <v>375</v>
      </c>
      <c r="D208" s="132">
        <f t="shared" si="168"/>
        <v>0</v>
      </c>
      <c r="E208" s="223">
        <f t="shared" si="169"/>
        <v>0</v>
      </c>
      <c r="F208" s="223">
        <f t="shared" si="169"/>
        <v>0</v>
      </c>
      <c r="G208" s="223">
        <f t="shared" si="169"/>
        <v>0</v>
      </c>
      <c r="H208" s="223">
        <f t="shared" si="169"/>
        <v>0</v>
      </c>
      <c r="I208" s="223">
        <f t="shared" si="169"/>
        <v>0</v>
      </c>
      <c r="J208" s="223">
        <f t="shared" si="169"/>
        <v>0</v>
      </c>
      <c r="K208" s="120"/>
      <c r="L208" s="120"/>
      <c r="M208" s="121"/>
      <c r="N208" s="121"/>
      <c r="O208" s="120"/>
      <c r="P208" s="120"/>
      <c r="Q208" s="121"/>
      <c r="R208" s="121"/>
      <c r="S208" s="328"/>
      <c r="T208" s="27"/>
      <c r="U208" s="27"/>
      <c r="V208" s="27"/>
      <c r="W208" s="27"/>
      <c r="X208" s="123"/>
      <c r="Y208" s="123"/>
      <c r="Z208" s="123"/>
      <c r="AA208" s="123"/>
      <c r="AB208" s="123"/>
      <c r="AC208" s="123"/>
      <c r="AD208" s="123"/>
      <c r="AE208" s="124"/>
      <c r="AF208" s="124"/>
      <c r="AG208" s="124"/>
      <c r="AH208" s="124"/>
    </row>
    <row r="209" spans="1:34" s="329" customFormat="1" ht="13.25" hidden="1" customHeight="1" x14ac:dyDescent="0.2">
      <c r="A209" s="27"/>
      <c r="B209" s="32"/>
      <c r="C209" s="118" t="s">
        <v>223</v>
      </c>
      <c r="D209" s="132">
        <f t="shared" si="168"/>
        <v>0</v>
      </c>
      <c r="E209" s="223">
        <f t="shared" si="169"/>
        <v>0</v>
      </c>
      <c r="F209" s="223">
        <f t="shared" si="169"/>
        <v>0</v>
      </c>
      <c r="G209" s="223">
        <f t="shared" si="169"/>
        <v>0</v>
      </c>
      <c r="H209" s="223">
        <f t="shared" si="169"/>
        <v>0</v>
      </c>
      <c r="I209" s="223">
        <f t="shared" si="169"/>
        <v>0</v>
      </c>
      <c r="J209" s="223">
        <f t="shared" si="169"/>
        <v>0</v>
      </c>
      <c r="K209" s="120"/>
      <c r="L209" s="120"/>
      <c r="M209" s="121"/>
      <c r="N209" s="121"/>
      <c r="O209" s="120"/>
      <c r="P209" s="120"/>
      <c r="Q209" s="121"/>
      <c r="R209" s="121"/>
      <c r="S209" s="328"/>
      <c r="T209" s="27"/>
      <c r="U209" s="27"/>
      <c r="V209" s="27"/>
      <c r="W209" s="27"/>
      <c r="X209" s="123"/>
      <c r="Y209" s="123"/>
      <c r="Z209" s="123"/>
      <c r="AA209" s="123"/>
      <c r="AB209" s="123"/>
      <c r="AC209" s="123"/>
      <c r="AD209" s="123"/>
      <c r="AE209" s="124"/>
    </row>
    <row r="210" spans="1:34" s="329" customFormat="1" ht="13.25" hidden="1" customHeight="1" x14ac:dyDescent="0.2">
      <c r="A210" s="27"/>
      <c r="B210" s="32"/>
      <c r="C210" s="118" t="s">
        <v>224</v>
      </c>
      <c r="D210" s="132">
        <f t="shared" si="168"/>
        <v>0</v>
      </c>
      <c r="E210" s="223">
        <f t="shared" si="169"/>
        <v>0</v>
      </c>
      <c r="F210" s="223">
        <f t="shared" si="169"/>
        <v>0</v>
      </c>
      <c r="G210" s="223">
        <f t="shared" si="169"/>
        <v>0</v>
      </c>
      <c r="H210" s="223">
        <f t="shared" si="169"/>
        <v>0</v>
      </c>
      <c r="I210" s="223">
        <f t="shared" si="169"/>
        <v>0</v>
      </c>
      <c r="J210" s="223">
        <f t="shared" si="169"/>
        <v>0</v>
      </c>
      <c r="K210" s="120"/>
      <c r="L210" s="120"/>
      <c r="M210" s="121"/>
      <c r="N210" s="121"/>
      <c r="O210" s="120"/>
      <c r="P210" s="120"/>
      <c r="Q210" s="121"/>
      <c r="R210" s="121"/>
      <c r="S210" s="328"/>
      <c r="T210" s="27"/>
      <c r="U210" s="27"/>
      <c r="V210" s="27"/>
      <c r="W210" s="27"/>
      <c r="X210" s="123"/>
      <c r="Y210" s="123"/>
      <c r="Z210" s="123"/>
      <c r="AA210" s="123"/>
      <c r="AB210" s="123"/>
      <c r="AC210" s="123"/>
      <c r="AD210" s="123"/>
      <c r="AE210" s="124"/>
    </row>
    <row r="211" spans="1:34" s="329" customFormat="1" ht="13.25" hidden="1" customHeight="1" x14ac:dyDescent="0.2">
      <c r="A211" s="27"/>
      <c r="B211" s="32"/>
      <c r="C211" s="118" t="s">
        <v>225</v>
      </c>
      <c r="D211" s="132">
        <f t="shared" si="168"/>
        <v>0</v>
      </c>
      <c r="E211" s="223">
        <f t="shared" si="169"/>
        <v>0</v>
      </c>
      <c r="F211" s="223">
        <f t="shared" si="169"/>
        <v>0</v>
      </c>
      <c r="G211" s="223">
        <f t="shared" si="169"/>
        <v>0</v>
      </c>
      <c r="H211" s="223">
        <f t="shared" si="169"/>
        <v>0</v>
      </c>
      <c r="I211" s="223">
        <f t="shared" si="169"/>
        <v>0</v>
      </c>
      <c r="J211" s="223">
        <f t="shared" si="169"/>
        <v>0</v>
      </c>
      <c r="K211" s="120"/>
      <c r="L211" s="120"/>
      <c r="M211" s="121"/>
      <c r="N211" s="121"/>
      <c r="O211" s="120"/>
      <c r="P211" s="120"/>
      <c r="Q211" s="121"/>
      <c r="R211" s="121"/>
      <c r="S211" s="328"/>
      <c r="T211" s="27"/>
      <c r="U211" s="27"/>
      <c r="V211" s="27"/>
      <c r="W211" s="27"/>
      <c r="X211" s="123"/>
      <c r="Y211" s="123"/>
      <c r="Z211" s="123"/>
      <c r="AA211" s="123"/>
      <c r="AB211" s="123"/>
      <c r="AC211" s="123"/>
      <c r="AD211" s="123"/>
    </row>
    <row r="212" spans="1:34" s="329" customFormat="1" ht="13.25" hidden="1" customHeight="1" x14ac:dyDescent="0.2">
      <c r="A212" s="27"/>
      <c r="B212" s="32"/>
      <c r="C212" s="118" t="s">
        <v>376</v>
      </c>
      <c r="D212" s="132">
        <f t="shared" si="168"/>
        <v>0</v>
      </c>
      <c r="E212" s="223">
        <f t="shared" si="169"/>
        <v>0</v>
      </c>
      <c r="F212" s="223">
        <f t="shared" si="169"/>
        <v>0</v>
      </c>
      <c r="G212" s="223">
        <f t="shared" si="169"/>
        <v>0</v>
      </c>
      <c r="H212" s="223">
        <f t="shared" si="169"/>
        <v>0</v>
      </c>
      <c r="I212" s="223">
        <f t="shared" si="169"/>
        <v>0</v>
      </c>
      <c r="J212" s="223">
        <f t="shared" si="169"/>
        <v>0</v>
      </c>
      <c r="K212" s="120"/>
      <c r="L212" s="120"/>
      <c r="M212" s="121"/>
      <c r="N212" s="121"/>
      <c r="O212" s="120"/>
      <c r="P212" s="120"/>
      <c r="Q212" s="121"/>
      <c r="R212" s="121"/>
      <c r="S212" s="328"/>
      <c r="T212" s="27"/>
      <c r="U212" s="27"/>
      <c r="V212" s="27"/>
      <c r="W212" s="27"/>
      <c r="X212" s="123"/>
      <c r="Y212" s="123"/>
      <c r="Z212" s="123"/>
      <c r="AA212" s="123"/>
      <c r="AB212" s="123"/>
      <c r="AC212" s="123"/>
      <c r="AD212" s="123"/>
    </row>
    <row r="213" spans="1:34" s="329" customFormat="1" ht="13.25" hidden="1" customHeight="1" x14ac:dyDescent="0.2">
      <c r="A213" s="27"/>
      <c r="B213" s="147"/>
      <c r="C213" s="118" t="s">
        <v>377</v>
      </c>
      <c r="D213" s="132">
        <f t="shared" si="168"/>
        <v>0</v>
      </c>
      <c r="E213" s="223">
        <f t="shared" si="169"/>
        <v>0</v>
      </c>
      <c r="F213" s="223">
        <f t="shared" si="169"/>
        <v>0</v>
      </c>
      <c r="G213" s="223">
        <f t="shared" si="169"/>
        <v>0</v>
      </c>
      <c r="H213" s="223">
        <f t="shared" si="169"/>
        <v>0</v>
      </c>
      <c r="I213" s="223">
        <f t="shared" si="169"/>
        <v>0</v>
      </c>
      <c r="J213" s="223">
        <f t="shared" si="169"/>
        <v>0</v>
      </c>
      <c r="K213" s="120"/>
      <c r="L213" s="120"/>
      <c r="M213" s="121"/>
      <c r="N213" s="121"/>
      <c r="O213" s="120"/>
      <c r="P213" s="120"/>
      <c r="Q213" s="121"/>
      <c r="R213" s="121"/>
      <c r="S213" s="328"/>
      <c r="T213" s="27"/>
      <c r="U213" s="27"/>
      <c r="V213" s="27"/>
      <c r="W213" s="27"/>
      <c r="X213" s="123"/>
      <c r="Y213" s="123"/>
      <c r="Z213" s="123"/>
      <c r="AA213" s="123"/>
      <c r="AB213" s="123"/>
      <c r="AC213" s="123"/>
      <c r="AD213" s="123"/>
    </row>
    <row r="214" spans="1:34" s="329" customFormat="1" ht="13.25" hidden="1" customHeight="1" x14ac:dyDescent="0.2">
      <c r="A214" s="27"/>
      <c r="B214" s="32"/>
      <c r="C214" s="118" t="s">
        <v>378</v>
      </c>
      <c r="D214" s="132">
        <f t="shared" si="168"/>
        <v>0</v>
      </c>
      <c r="E214" s="223">
        <f t="shared" si="169"/>
        <v>0</v>
      </c>
      <c r="F214" s="223">
        <f t="shared" si="169"/>
        <v>0</v>
      </c>
      <c r="G214" s="223">
        <f t="shared" si="169"/>
        <v>0</v>
      </c>
      <c r="H214" s="223">
        <f t="shared" si="169"/>
        <v>0</v>
      </c>
      <c r="I214" s="223">
        <f t="shared" si="169"/>
        <v>0</v>
      </c>
      <c r="J214" s="223">
        <f t="shared" si="169"/>
        <v>0</v>
      </c>
      <c r="K214" s="120"/>
      <c r="L214" s="120"/>
      <c r="M214" s="121"/>
      <c r="N214" s="121"/>
      <c r="O214" s="120"/>
      <c r="P214" s="120"/>
      <c r="Q214" s="121"/>
      <c r="R214" s="121"/>
      <c r="S214" s="328"/>
      <c r="T214" s="27"/>
      <c r="U214" s="27"/>
      <c r="V214" s="27"/>
      <c r="W214" s="27"/>
      <c r="X214" s="123"/>
      <c r="Y214" s="123"/>
      <c r="Z214" s="123"/>
      <c r="AA214" s="123"/>
      <c r="AB214" s="123"/>
      <c r="AC214" s="123"/>
      <c r="AD214" s="123"/>
    </row>
    <row r="215" spans="1:34" s="329" customFormat="1" ht="13.25" hidden="1" customHeight="1" x14ac:dyDescent="0.2">
      <c r="A215" s="27"/>
      <c r="B215" s="32"/>
      <c r="C215" s="311" t="s">
        <v>610</v>
      </c>
      <c r="D215" s="325"/>
      <c r="E215" s="326">
        <f t="shared" ref="E215:J215" si="170">AVERAGE(E203:E214)</f>
        <v>0</v>
      </c>
      <c r="F215" s="326">
        <f t="shared" si="170"/>
        <v>0</v>
      </c>
      <c r="G215" s="326">
        <f t="shared" si="170"/>
        <v>0</v>
      </c>
      <c r="H215" s="326">
        <f t="shared" si="170"/>
        <v>0</v>
      </c>
      <c r="I215" s="326">
        <f t="shared" si="170"/>
        <v>0</v>
      </c>
      <c r="J215" s="326">
        <f t="shared" si="170"/>
        <v>0</v>
      </c>
      <c r="K215" s="120"/>
      <c r="L215" s="120"/>
      <c r="M215" s="121"/>
      <c r="N215" s="121"/>
      <c r="O215" s="120"/>
      <c r="P215" s="120"/>
      <c r="Q215" s="121"/>
      <c r="R215" s="121"/>
      <c r="S215" s="328"/>
      <c r="T215" s="27"/>
      <c r="U215" s="27"/>
      <c r="V215" s="27"/>
      <c r="W215" s="27"/>
      <c r="X215" s="123"/>
      <c r="Y215" s="123"/>
      <c r="Z215" s="123"/>
      <c r="AA215" s="123"/>
      <c r="AB215" s="123"/>
      <c r="AC215" s="123"/>
      <c r="AD215" s="123"/>
    </row>
    <row r="216" spans="1:34" s="329" customFormat="1" ht="13.25" hidden="1" customHeight="1" x14ac:dyDescent="0.2">
      <c r="A216" s="27"/>
      <c r="B216" s="32"/>
      <c r="C216" s="311"/>
      <c r="D216" s="325"/>
      <c r="E216" s="326"/>
      <c r="F216" s="326"/>
      <c r="G216" s="326"/>
      <c r="H216" s="326"/>
      <c r="I216" s="326"/>
      <c r="J216" s="326"/>
      <c r="K216" s="120"/>
      <c r="L216" s="120"/>
      <c r="M216" s="121"/>
      <c r="N216" s="121"/>
      <c r="O216" s="120"/>
      <c r="P216" s="120"/>
      <c r="Q216" s="121"/>
      <c r="R216" s="121"/>
      <c r="S216" s="328"/>
      <c r="T216" s="27"/>
      <c r="U216" s="27"/>
      <c r="V216" s="27"/>
      <c r="W216" s="27"/>
      <c r="X216" s="123"/>
      <c r="Y216" s="123"/>
      <c r="Z216" s="123"/>
      <c r="AA216" s="123"/>
      <c r="AB216" s="123"/>
      <c r="AC216" s="123"/>
      <c r="AD216" s="123"/>
    </row>
    <row r="217" spans="1:34" s="329" customFormat="1" ht="13.25" hidden="1" customHeight="1" x14ac:dyDescent="0.2">
      <c r="A217" s="119"/>
      <c r="B217" s="32"/>
      <c r="C217" s="118"/>
      <c r="D217" s="132"/>
      <c r="E217" s="223"/>
      <c r="F217" s="223"/>
      <c r="G217" s="223"/>
      <c r="H217" s="223"/>
      <c r="I217" s="223"/>
      <c r="J217" s="223"/>
      <c r="K217" s="252" t="s">
        <v>107</v>
      </c>
      <c r="L217" s="120"/>
      <c r="M217" s="121"/>
      <c r="N217" s="121"/>
      <c r="O217" s="120"/>
      <c r="P217" s="120"/>
      <c r="Q217" s="121"/>
      <c r="R217" s="121"/>
      <c r="S217" s="328"/>
      <c r="T217" s="27"/>
      <c r="U217" s="27"/>
      <c r="V217" s="27"/>
      <c r="W217" s="27"/>
      <c r="X217" s="123"/>
      <c r="Y217" s="123"/>
      <c r="Z217" s="123"/>
      <c r="AA217" s="123"/>
      <c r="AB217" s="123"/>
      <c r="AC217" s="123"/>
      <c r="AD217" s="123"/>
    </row>
    <row r="218" spans="1:34" s="329" customFormat="1" ht="13.25" hidden="1" customHeight="1" x14ac:dyDescent="0.2">
      <c r="A218" s="119"/>
      <c r="B218" s="32"/>
      <c r="C218" s="118" t="s">
        <v>109</v>
      </c>
      <c r="D218" s="132">
        <f t="shared" ref="D218:D229" si="171">MIN(ROUNDDOWN(SUM(E218:J218),-2),$U$82)</f>
        <v>0</v>
      </c>
      <c r="E218" s="223">
        <f t="shared" ref="E218:J229" si="172">IF(L35=1, MIN(E$136+L218-(L69*E$136),$U$82), 0)</f>
        <v>0</v>
      </c>
      <c r="F218" s="223">
        <f t="shared" si="172"/>
        <v>0</v>
      </c>
      <c r="G218" s="223">
        <f t="shared" si="172"/>
        <v>0</v>
      </c>
      <c r="H218" s="223">
        <f t="shared" si="172"/>
        <v>0</v>
      </c>
      <c r="I218" s="223">
        <f t="shared" si="172"/>
        <v>0</v>
      </c>
      <c r="J218" s="223">
        <f t="shared" si="172"/>
        <v>0</v>
      </c>
      <c r="K218" s="121">
        <f t="array" ref="K218">IF(COUNTIF(L35:Q35,1)&gt;0,$U$80+MAX(IF(L35:Q35=1,$E$117:$J$117,-100000))+MAX(IF(L35:Q35=1,$E$121:$J$121,-100000)),0)</f>
        <v>0</v>
      </c>
      <c r="L218" s="121">
        <f t="shared" ref="L218:Q229" si="173">IFERROR(IF(L35=1,ROUNDUP($K218*1/$R35,0),0),0)</f>
        <v>0</v>
      </c>
      <c r="M218" s="121">
        <f t="shared" si="173"/>
        <v>0</v>
      </c>
      <c r="N218" s="121">
        <f t="shared" si="173"/>
        <v>0</v>
      </c>
      <c r="O218" s="121">
        <f t="shared" si="173"/>
        <v>0</v>
      </c>
      <c r="P218" s="121">
        <f t="shared" si="173"/>
        <v>0</v>
      </c>
      <c r="Q218" s="121">
        <f t="shared" si="173"/>
        <v>0</v>
      </c>
      <c r="R218" s="121"/>
      <c r="S218" s="328"/>
      <c r="T218" s="27"/>
      <c r="U218" s="27"/>
      <c r="V218" s="27"/>
      <c r="W218" s="27"/>
      <c r="X218" s="123"/>
      <c r="Y218" s="123"/>
      <c r="Z218" s="123"/>
      <c r="AA218" s="123"/>
      <c r="AB218" s="123"/>
      <c r="AC218" s="123"/>
      <c r="AD218" s="123"/>
    </row>
    <row r="219" spans="1:34" s="329" customFormat="1" ht="13.25" hidden="1" customHeight="1" x14ac:dyDescent="0.2">
      <c r="A219" s="119"/>
      <c r="B219" s="32"/>
      <c r="C219" s="118" t="s">
        <v>110</v>
      </c>
      <c r="D219" s="132">
        <f t="shared" si="171"/>
        <v>0</v>
      </c>
      <c r="E219" s="223">
        <f t="shared" si="172"/>
        <v>0</v>
      </c>
      <c r="F219" s="223">
        <f t="shared" si="172"/>
        <v>0</v>
      </c>
      <c r="G219" s="223">
        <f t="shared" si="172"/>
        <v>0</v>
      </c>
      <c r="H219" s="223">
        <f t="shared" si="172"/>
        <v>0</v>
      </c>
      <c r="I219" s="223">
        <f t="shared" si="172"/>
        <v>0</v>
      </c>
      <c r="J219" s="223">
        <f t="shared" si="172"/>
        <v>0</v>
      </c>
      <c r="K219" s="121">
        <f t="array" ref="K219">IF(COUNTIF(L36:Q36,1)&gt;0,$U$80+MAX(IF(L36:Q36=1,$E$117:$J$117,-100000))+MAX(IF(L36:Q36=1,$E$121:$J$121,-100000)),0)</f>
        <v>0</v>
      </c>
      <c r="L219" s="121">
        <f t="shared" si="173"/>
        <v>0</v>
      </c>
      <c r="M219" s="121">
        <f t="shared" si="173"/>
        <v>0</v>
      </c>
      <c r="N219" s="121">
        <f t="shared" si="173"/>
        <v>0</v>
      </c>
      <c r="O219" s="121">
        <f t="shared" si="173"/>
        <v>0</v>
      </c>
      <c r="P219" s="121">
        <f t="shared" si="173"/>
        <v>0</v>
      </c>
      <c r="Q219" s="121">
        <f t="shared" si="173"/>
        <v>0</v>
      </c>
      <c r="R219" s="121"/>
      <c r="S219" s="328"/>
      <c r="T219" s="27"/>
      <c r="U219" s="27"/>
      <c r="V219" s="27"/>
      <c r="W219" s="27"/>
      <c r="X219" s="123"/>
      <c r="Y219" s="123"/>
      <c r="Z219" s="123"/>
      <c r="AA219" s="123"/>
      <c r="AB219" s="123"/>
      <c r="AC219" s="123"/>
      <c r="AD219" s="123"/>
    </row>
    <row r="220" spans="1:34" s="329" customFormat="1" ht="13.25" hidden="1" customHeight="1" x14ac:dyDescent="0.2">
      <c r="A220" s="119"/>
      <c r="B220" s="32"/>
      <c r="C220" s="118" t="s">
        <v>111</v>
      </c>
      <c r="D220" s="132">
        <f t="shared" si="171"/>
        <v>0</v>
      </c>
      <c r="E220" s="223">
        <f t="shared" si="172"/>
        <v>0</v>
      </c>
      <c r="F220" s="223">
        <f t="shared" si="172"/>
        <v>0</v>
      </c>
      <c r="G220" s="223">
        <f t="shared" si="172"/>
        <v>0</v>
      </c>
      <c r="H220" s="223">
        <f t="shared" si="172"/>
        <v>0</v>
      </c>
      <c r="I220" s="223">
        <f t="shared" si="172"/>
        <v>0</v>
      </c>
      <c r="J220" s="223">
        <f t="shared" si="172"/>
        <v>0</v>
      </c>
      <c r="K220" s="121">
        <f t="array" ref="K220">IF(COUNTIF(L37:Q37,1)&gt;0,$U$80+MAX(IF(L37:Q37=1,$E$117:$J$117,-100000))+MAX(IF(L37:Q37=1,$E$121:$J$121,-100000)),0)</f>
        <v>0</v>
      </c>
      <c r="L220" s="121">
        <f t="shared" si="173"/>
        <v>0</v>
      </c>
      <c r="M220" s="121">
        <f t="shared" si="173"/>
        <v>0</v>
      </c>
      <c r="N220" s="121">
        <f t="shared" si="173"/>
        <v>0</v>
      </c>
      <c r="O220" s="121">
        <f t="shared" si="173"/>
        <v>0</v>
      </c>
      <c r="P220" s="121">
        <f t="shared" si="173"/>
        <v>0</v>
      </c>
      <c r="Q220" s="121">
        <f t="shared" si="173"/>
        <v>0</v>
      </c>
      <c r="R220" s="121"/>
      <c r="S220" s="328"/>
      <c r="T220" s="27"/>
      <c r="U220" s="27"/>
      <c r="V220" s="27"/>
      <c r="W220" s="27"/>
      <c r="X220" s="123"/>
      <c r="Y220" s="123"/>
      <c r="Z220" s="123"/>
      <c r="AA220" s="123"/>
      <c r="AB220" s="123"/>
      <c r="AC220" s="123"/>
      <c r="AD220" s="123"/>
    </row>
    <row r="221" spans="1:34" s="329" customFormat="1" ht="13.25" hidden="1" customHeight="1" x14ac:dyDescent="0.2">
      <c r="A221" s="119"/>
      <c r="B221" s="330"/>
      <c r="C221" s="118" t="s">
        <v>112</v>
      </c>
      <c r="D221" s="132">
        <f t="shared" si="171"/>
        <v>0</v>
      </c>
      <c r="E221" s="223">
        <f t="shared" si="172"/>
        <v>0</v>
      </c>
      <c r="F221" s="223">
        <f t="shared" si="172"/>
        <v>0</v>
      </c>
      <c r="G221" s="223">
        <f t="shared" si="172"/>
        <v>0</v>
      </c>
      <c r="H221" s="223">
        <f t="shared" si="172"/>
        <v>0</v>
      </c>
      <c r="I221" s="223">
        <f t="shared" si="172"/>
        <v>0</v>
      </c>
      <c r="J221" s="223">
        <f t="shared" si="172"/>
        <v>0</v>
      </c>
      <c r="K221" s="121">
        <f t="array" ref="K221">IF(COUNTIF(L38:Q38,1)&gt;0,$U$80+MAX(IF(L38:Q38=1,$E$117:$J$117,-100000))+MAX(IF(L38:Q38=1,$E$121:$J$121,-100000)),0)</f>
        <v>0</v>
      </c>
      <c r="L221" s="121">
        <f t="shared" si="173"/>
        <v>0</v>
      </c>
      <c r="M221" s="121">
        <f t="shared" si="173"/>
        <v>0</v>
      </c>
      <c r="N221" s="121">
        <f t="shared" si="173"/>
        <v>0</v>
      </c>
      <c r="O221" s="121">
        <f t="shared" si="173"/>
        <v>0</v>
      </c>
      <c r="P221" s="121">
        <f t="shared" si="173"/>
        <v>0</v>
      </c>
      <c r="Q221" s="121">
        <f t="shared" si="173"/>
        <v>0</v>
      </c>
      <c r="R221" s="121"/>
      <c r="S221" s="328"/>
      <c r="T221" s="27"/>
      <c r="U221" s="27"/>
      <c r="V221" s="27"/>
      <c r="W221" s="27"/>
      <c r="X221" s="123"/>
      <c r="Y221" s="123"/>
      <c r="Z221" s="123"/>
      <c r="AA221" s="123"/>
      <c r="AB221" s="123"/>
      <c r="AC221" s="123"/>
      <c r="AD221" s="123"/>
    </row>
    <row r="222" spans="1:34" s="329" customFormat="1" ht="13.25" hidden="1" customHeight="1" x14ac:dyDescent="0.2">
      <c r="A222" s="119"/>
      <c r="B222" s="330"/>
      <c r="C222" s="118" t="s">
        <v>113</v>
      </c>
      <c r="D222" s="132">
        <f t="shared" si="171"/>
        <v>0</v>
      </c>
      <c r="E222" s="223">
        <f t="shared" si="172"/>
        <v>0</v>
      </c>
      <c r="F222" s="223">
        <f t="shared" si="172"/>
        <v>0</v>
      </c>
      <c r="G222" s="223">
        <f t="shared" si="172"/>
        <v>0</v>
      </c>
      <c r="H222" s="223">
        <f t="shared" si="172"/>
        <v>0</v>
      </c>
      <c r="I222" s="223">
        <f t="shared" si="172"/>
        <v>0</v>
      </c>
      <c r="J222" s="223">
        <f t="shared" si="172"/>
        <v>0</v>
      </c>
      <c r="K222" s="121">
        <f t="array" ref="K222">IF(COUNTIF(L39:Q39,1)&gt;0,$U$80+MAX(IF(L39:Q39=1,$E$117:$J$117,-100000))+MAX(IF(L39:Q39=1,$E$121:$J$121,-100000)),0)</f>
        <v>0</v>
      </c>
      <c r="L222" s="121">
        <f t="shared" si="173"/>
        <v>0</v>
      </c>
      <c r="M222" s="121">
        <f t="shared" si="173"/>
        <v>0</v>
      </c>
      <c r="N222" s="121">
        <f t="shared" si="173"/>
        <v>0</v>
      </c>
      <c r="O222" s="121">
        <f t="shared" si="173"/>
        <v>0</v>
      </c>
      <c r="P222" s="121">
        <f t="shared" si="173"/>
        <v>0</v>
      </c>
      <c r="Q222" s="121">
        <f t="shared" si="173"/>
        <v>0</v>
      </c>
      <c r="R222" s="121"/>
      <c r="S222" s="328"/>
      <c r="T222" s="27"/>
      <c r="U222" s="27"/>
      <c r="V222" s="27"/>
      <c r="W222" s="27"/>
      <c r="X222" s="123"/>
      <c r="Y222" s="123"/>
      <c r="Z222" s="123"/>
      <c r="AA222" s="123"/>
      <c r="AB222" s="123"/>
      <c r="AC222" s="123"/>
      <c r="AD222" s="123"/>
    </row>
    <row r="223" spans="1:34" s="329" customFormat="1" ht="13.25" hidden="1" customHeight="1" x14ac:dyDescent="0.2">
      <c r="A223" s="119"/>
      <c r="B223" s="330"/>
      <c r="C223" s="118" t="s">
        <v>114</v>
      </c>
      <c r="D223" s="132">
        <f t="shared" si="171"/>
        <v>0</v>
      </c>
      <c r="E223" s="223">
        <f t="shared" si="172"/>
        <v>0</v>
      </c>
      <c r="F223" s="223">
        <f t="shared" si="172"/>
        <v>0</v>
      </c>
      <c r="G223" s="223">
        <f t="shared" si="172"/>
        <v>0</v>
      </c>
      <c r="H223" s="223">
        <f t="shared" si="172"/>
        <v>0</v>
      </c>
      <c r="I223" s="223">
        <f t="shared" si="172"/>
        <v>0</v>
      </c>
      <c r="J223" s="223">
        <f t="shared" si="172"/>
        <v>0</v>
      </c>
      <c r="K223" s="121">
        <f t="array" ref="K223">IF(COUNTIF(L40:Q40,1)&gt;0,$U$80+MAX(IF(L40:Q40=1,$E$117:$J$117,-100000))+MAX(IF(L40:Q40=1,$E$121:$J$121,-100000)),0)</f>
        <v>0</v>
      </c>
      <c r="L223" s="121">
        <f t="shared" si="173"/>
        <v>0</v>
      </c>
      <c r="M223" s="121">
        <f t="shared" si="173"/>
        <v>0</v>
      </c>
      <c r="N223" s="121">
        <f t="shared" si="173"/>
        <v>0</v>
      </c>
      <c r="O223" s="121">
        <f t="shared" si="173"/>
        <v>0</v>
      </c>
      <c r="P223" s="121">
        <f t="shared" si="173"/>
        <v>0</v>
      </c>
      <c r="Q223" s="121">
        <f t="shared" si="173"/>
        <v>0</v>
      </c>
      <c r="R223" s="121"/>
      <c r="S223" s="328"/>
      <c r="T223" s="27"/>
      <c r="U223" s="27"/>
      <c r="V223" s="27"/>
      <c r="W223" s="27"/>
      <c r="X223" s="123"/>
      <c r="Y223" s="123"/>
      <c r="Z223" s="123"/>
      <c r="AA223" s="123"/>
      <c r="AB223" s="123"/>
      <c r="AC223" s="123"/>
      <c r="AD223" s="123"/>
    </row>
    <row r="224" spans="1:34" ht="13.25" hidden="1" customHeight="1" x14ac:dyDescent="0.2">
      <c r="A224" s="119"/>
      <c r="B224" s="330"/>
      <c r="C224" s="118" t="s">
        <v>115</v>
      </c>
      <c r="D224" s="132">
        <f t="shared" si="171"/>
        <v>0</v>
      </c>
      <c r="E224" s="223">
        <f t="shared" si="172"/>
        <v>0</v>
      </c>
      <c r="F224" s="223">
        <f t="shared" si="172"/>
        <v>0</v>
      </c>
      <c r="G224" s="223">
        <f t="shared" si="172"/>
        <v>0</v>
      </c>
      <c r="H224" s="223">
        <f t="shared" si="172"/>
        <v>0</v>
      </c>
      <c r="I224" s="223">
        <f t="shared" si="172"/>
        <v>0</v>
      </c>
      <c r="J224" s="223">
        <f t="shared" si="172"/>
        <v>0</v>
      </c>
      <c r="K224" s="121">
        <f t="array" ref="K224">IF(COUNTIF(L41:Q41,1)&gt;0,$U$80+MAX(IF(L41:Q41=1,$E$117:$J$117,-100000))+MAX(IF(L41:Q41=1,$E$121:$J$121,-100000)),0)</f>
        <v>0</v>
      </c>
      <c r="L224" s="121">
        <f t="shared" si="173"/>
        <v>0</v>
      </c>
      <c r="M224" s="121">
        <f t="shared" si="173"/>
        <v>0</v>
      </c>
      <c r="N224" s="121">
        <f t="shared" si="173"/>
        <v>0</v>
      </c>
      <c r="O224" s="121">
        <f t="shared" si="173"/>
        <v>0</v>
      </c>
      <c r="P224" s="121">
        <f t="shared" si="173"/>
        <v>0</v>
      </c>
      <c r="Q224" s="121">
        <f t="shared" si="173"/>
        <v>0</v>
      </c>
      <c r="R224" s="121"/>
      <c r="S224" s="328"/>
      <c r="X224" s="123"/>
      <c r="Y224" s="123"/>
      <c r="Z224" s="123"/>
      <c r="AA224" s="123"/>
      <c r="AB224" s="123"/>
      <c r="AC224" s="123"/>
      <c r="AE224" s="329"/>
      <c r="AF224" s="329"/>
      <c r="AG224" s="329"/>
      <c r="AH224" s="329"/>
    </row>
    <row r="225" spans="1:34" ht="13.25" hidden="1" customHeight="1" x14ac:dyDescent="0.2">
      <c r="A225" s="119"/>
      <c r="B225" s="330"/>
      <c r="C225" s="118" t="s">
        <v>116</v>
      </c>
      <c r="D225" s="132">
        <f t="shared" si="171"/>
        <v>0</v>
      </c>
      <c r="E225" s="223">
        <f t="shared" si="172"/>
        <v>0</v>
      </c>
      <c r="F225" s="223">
        <f t="shared" si="172"/>
        <v>0</v>
      </c>
      <c r="G225" s="223">
        <f t="shared" si="172"/>
        <v>0</v>
      </c>
      <c r="H225" s="223">
        <f t="shared" si="172"/>
        <v>0</v>
      </c>
      <c r="I225" s="223">
        <f t="shared" si="172"/>
        <v>0</v>
      </c>
      <c r="J225" s="223">
        <f t="shared" si="172"/>
        <v>0</v>
      </c>
      <c r="K225" s="121">
        <f t="array" ref="K225">IF(COUNTIF(L42:Q42,1)&gt;0,$U$80+MAX(IF(L42:Q42=1,$E$117:$J$117,-100000))+MAX(IF(L42:Q42=1,$E$121:$J$121,-100000)),0)</f>
        <v>0</v>
      </c>
      <c r="L225" s="121">
        <f t="shared" si="173"/>
        <v>0</v>
      </c>
      <c r="M225" s="121">
        <f t="shared" si="173"/>
        <v>0</v>
      </c>
      <c r="N225" s="121">
        <f t="shared" si="173"/>
        <v>0</v>
      </c>
      <c r="O225" s="121">
        <f t="shared" si="173"/>
        <v>0</v>
      </c>
      <c r="P225" s="121">
        <f t="shared" si="173"/>
        <v>0</v>
      </c>
      <c r="Q225" s="121">
        <f t="shared" si="173"/>
        <v>0</v>
      </c>
      <c r="R225" s="121"/>
      <c r="S225" s="328"/>
      <c r="X225" s="123"/>
      <c r="Y225" s="123"/>
      <c r="Z225" s="123"/>
      <c r="AA225" s="123"/>
      <c r="AB225" s="123"/>
      <c r="AC225" s="123"/>
      <c r="AE225" s="329"/>
    </row>
    <row r="226" spans="1:34" s="332" customFormat="1" ht="13.25" hidden="1" customHeight="1" x14ac:dyDescent="0.2">
      <c r="A226" s="119"/>
      <c r="B226" s="330"/>
      <c r="C226" s="118" t="s">
        <v>117</v>
      </c>
      <c r="D226" s="132">
        <f t="shared" si="171"/>
        <v>0</v>
      </c>
      <c r="E226" s="223">
        <f t="shared" si="172"/>
        <v>0</v>
      </c>
      <c r="F226" s="223">
        <f t="shared" si="172"/>
        <v>0</v>
      </c>
      <c r="G226" s="223">
        <f t="shared" si="172"/>
        <v>0</v>
      </c>
      <c r="H226" s="223">
        <f t="shared" si="172"/>
        <v>0</v>
      </c>
      <c r="I226" s="223">
        <f t="shared" si="172"/>
        <v>0</v>
      </c>
      <c r="J226" s="223">
        <f t="shared" si="172"/>
        <v>0</v>
      </c>
      <c r="K226" s="121">
        <f t="array" ref="K226">IF(COUNTIF(L43:Q43,1)&gt;0,$U$80+MAX(IF(L43:Q43=1,$E$117:$J$117,-100000))+MAX(IF(L43:Q43=1,$E$121:$J$121,-100000)),0)</f>
        <v>0</v>
      </c>
      <c r="L226" s="121">
        <f t="shared" si="173"/>
        <v>0</v>
      </c>
      <c r="M226" s="121">
        <f t="shared" si="173"/>
        <v>0</v>
      </c>
      <c r="N226" s="121">
        <f t="shared" si="173"/>
        <v>0</v>
      </c>
      <c r="O226" s="121">
        <f t="shared" si="173"/>
        <v>0</v>
      </c>
      <c r="P226" s="121">
        <f t="shared" si="173"/>
        <v>0</v>
      </c>
      <c r="Q226" s="121">
        <f t="shared" si="173"/>
        <v>0</v>
      </c>
      <c r="R226" s="121"/>
      <c r="S226" s="328"/>
      <c r="T226" s="116"/>
      <c r="U226" s="116"/>
      <c r="V226" s="116"/>
      <c r="W226" s="116"/>
      <c r="X226" s="331"/>
      <c r="Y226" s="123"/>
      <c r="Z226" s="123"/>
      <c r="AA226" s="123"/>
      <c r="AB226" s="123"/>
      <c r="AC226" s="123"/>
      <c r="AD226" s="123"/>
      <c r="AE226" s="329"/>
      <c r="AF226" s="124"/>
      <c r="AG226" s="124"/>
      <c r="AH226" s="124"/>
    </row>
    <row r="227" spans="1:34" ht="13.25" hidden="1" customHeight="1" x14ac:dyDescent="0.2">
      <c r="A227" s="119"/>
      <c r="B227" s="330"/>
      <c r="C227" s="118" t="s">
        <v>118</v>
      </c>
      <c r="D227" s="132">
        <f t="shared" si="171"/>
        <v>0</v>
      </c>
      <c r="E227" s="223">
        <f t="shared" si="172"/>
        <v>0</v>
      </c>
      <c r="F227" s="223">
        <f t="shared" si="172"/>
        <v>0</v>
      </c>
      <c r="G227" s="223">
        <f t="shared" si="172"/>
        <v>0</v>
      </c>
      <c r="H227" s="223">
        <f t="shared" si="172"/>
        <v>0</v>
      </c>
      <c r="I227" s="223">
        <f t="shared" si="172"/>
        <v>0</v>
      </c>
      <c r="J227" s="223">
        <f t="shared" si="172"/>
        <v>0</v>
      </c>
      <c r="K227" s="121">
        <f t="array" ref="K227">IF(COUNTIF(L44:Q44,1)&gt;0,$U$80+MAX(IF(L44:Q44=1,$E$117:$J$117,-100000))+MAX(IF(L44:Q44=1,$E$121:$J$121,-100000)),0)</f>
        <v>0</v>
      </c>
      <c r="L227" s="121">
        <f t="shared" si="173"/>
        <v>0</v>
      </c>
      <c r="M227" s="121">
        <f t="shared" si="173"/>
        <v>0</v>
      </c>
      <c r="N227" s="121">
        <f t="shared" si="173"/>
        <v>0</v>
      </c>
      <c r="O227" s="121">
        <f t="shared" si="173"/>
        <v>0</v>
      </c>
      <c r="P227" s="121">
        <f t="shared" si="173"/>
        <v>0</v>
      </c>
      <c r="Q227" s="121">
        <f t="shared" si="173"/>
        <v>0</v>
      </c>
      <c r="R227" s="121"/>
      <c r="S227" s="328"/>
      <c r="X227" s="123"/>
      <c r="Y227" s="123"/>
      <c r="Z227" s="123"/>
      <c r="AA227" s="123"/>
      <c r="AB227" s="123"/>
      <c r="AC227" s="123"/>
      <c r="AF227" s="332"/>
      <c r="AG227" s="332"/>
      <c r="AH227" s="332"/>
    </row>
    <row r="228" spans="1:34" ht="13.25" hidden="1" customHeight="1" x14ac:dyDescent="0.2">
      <c r="A228" s="119"/>
      <c r="B228" s="330"/>
      <c r="C228" s="118" t="s">
        <v>119</v>
      </c>
      <c r="D228" s="132">
        <f t="shared" si="171"/>
        <v>0</v>
      </c>
      <c r="E228" s="223">
        <f t="shared" si="172"/>
        <v>0</v>
      </c>
      <c r="F228" s="223">
        <f t="shared" si="172"/>
        <v>0</v>
      </c>
      <c r="G228" s="223">
        <f t="shared" si="172"/>
        <v>0</v>
      </c>
      <c r="H228" s="223">
        <f t="shared" si="172"/>
        <v>0</v>
      </c>
      <c r="I228" s="223">
        <f t="shared" si="172"/>
        <v>0</v>
      </c>
      <c r="J228" s="223">
        <f t="shared" si="172"/>
        <v>0</v>
      </c>
      <c r="K228" s="121">
        <f t="array" ref="K228">IF(COUNTIF(L45:Q45,1)&gt;0,$U$80+MAX(IF(L45:Q45=1,$E$117:$J$117,-100000))+MAX(IF(L45:Q45=1,$E$121:$J$121,-100000)),0)</f>
        <v>0</v>
      </c>
      <c r="L228" s="121">
        <f t="shared" si="173"/>
        <v>0</v>
      </c>
      <c r="M228" s="121">
        <f t="shared" si="173"/>
        <v>0</v>
      </c>
      <c r="N228" s="121">
        <f t="shared" si="173"/>
        <v>0</v>
      </c>
      <c r="O228" s="121">
        <f t="shared" si="173"/>
        <v>0</v>
      </c>
      <c r="P228" s="121">
        <f t="shared" si="173"/>
        <v>0</v>
      </c>
      <c r="Q228" s="121">
        <f t="shared" si="173"/>
        <v>0</v>
      </c>
      <c r="R228" s="121"/>
      <c r="S228" s="328"/>
      <c r="X228" s="123"/>
      <c r="Y228" s="331"/>
      <c r="Z228" s="123"/>
      <c r="AA228" s="123"/>
      <c r="AB228" s="331"/>
      <c r="AC228" s="331"/>
      <c r="AD228" s="331"/>
    </row>
    <row r="229" spans="1:34" ht="13.25" hidden="1" customHeight="1" x14ac:dyDescent="0.2">
      <c r="A229" s="119"/>
      <c r="B229" s="330"/>
      <c r="C229" s="118" t="s">
        <v>120</v>
      </c>
      <c r="D229" s="132">
        <f t="shared" si="171"/>
        <v>0</v>
      </c>
      <c r="E229" s="223">
        <f t="shared" si="172"/>
        <v>0</v>
      </c>
      <c r="F229" s="223">
        <f t="shared" si="172"/>
        <v>0</v>
      </c>
      <c r="G229" s="223">
        <f t="shared" si="172"/>
        <v>0</v>
      </c>
      <c r="H229" s="223">
        <f t="shared" si="172"/>
        <v>0</v>
      </c>
      <c r="I229" s="223">
        <f t="shared" si="172"/>
        <v>0</v>
      </c>
      <c r="J229" s="223">
        <f t="shared" si="172"/>
        <v>0</v>
      </c>
      <c r="K229" s="121">
        <f t="array" ref="K229">IF(COUNTIF(L46:Q46,1)&gt;0,$U$80+MAX(IF(L46:Q46=1,$E$117:$J$117,-100000))+MAX(IF(L46:Q46=1,$E$121:$J$121,-100000)),0)</f>
        <v>0</v>
      </c>
      <c r="L229" s="121">
        <f t="shared" si="173"/>
        <v>0</v>
      </c>
      <c r="M229" s="121">
        <f t="shared" si="173"/>
        <v>0</v>
      </c>
      <c r="N229" s="121">
        <f t="shared" si="173"/>
        <v>0</v>
      </c>
      <c r="O229" s="121">
        <f t="shared" si="173"/>
        <v>0</v>
      </c>
      <c r="P229" s="121">
        <f t="shared" si="173"/>
        <v>0</v>
      </c>
      <c r="Q229" s="121">
        <f t="shared" si="173"/>
        <v>0</v>
      </c>
      <c r="R229" s="121"/>
      <c r="S229" s="328"/>
      <c r="X229" s="123"/>
      <c r="Y229" s="123"/>
      <c r="Z229" s="331"/>
      <c r="AA229" s="331"/>
      <c r="AB229" s="123"/>
      <c r="AC229" s="123"/>
      <c r="AE229" s="332"/>
    </row>
    <row r="230" spans="1:34" ht="13.25" hidden="1" customHeight="1" x14ac:dyDescent="0.2">
      <c r="A230" s="119"/>
      <c r="B230" s="330"/>
      <c r="C230" s="311" t="s">
        <v>121</v>
      </c>
      <c r="D230" s="325">
        <f>ROUNDDOWN(SUM(D218:D229)/12,-2)</f>
        <v>0</v>
      </c>
      <c r="E230" s="326">
        <f t="shared" ref="E230:Q230" si="174">AVERAGE(E218:E229)</f>
        <v>0</v>
      </c>
      <c r="F230" s="326">
        <f t="shared" si="174"/>
        <v>0</v>
      </c>
      <c r="G230" s="326">
        <f t="shared" si="174"/>
        <v>0</v>
      </c>
      <c r="H230" s="326">
        <f t="shared" si="174"/>
        <v>0</v>
      </c>
      <c r="I230" s="326">
        <f t="shared" si="174"/>
        <v>0</v>
      </c>
      <c r="J230" s="326">
        <f t="shared" si="174"/>
        <v>0</v>
      </c>
      <c r="K230" s="207">
        <f t="shared" si="174"/>
        <v>0</v>
      </c>
      <c r="L230" s="207">
        <f t="shared" si="174"/>
        <v>0</v>
      </c>
      <c r="M230" s="207">
        <f t="shared" si="174"/>
        <v>0</v>
      </c>
      <c r="N230" s="207">
        <f t="shared" si="174"/>
        <v>0</v>
      </c>
      <c r="O230" s="207">
        <f t="shared" si="174"/>
        <v>0</v>
      </c>
      <c r="P230" s="207">
        <f t="shared" si="174"/>
        <v>0</v>
      </c>
      <c r="Q230" s="207">
        <f t="shared" si="174"/>
        <v>0</v>
      </c>
      <c r="R230" s="121"/>
      <c r="S230" s="328"/>
      <c r="X230" s="123"/>
      <c r="Y230" s="123"/>
      <c r="Z230" s="123"/>
      <c r="AA230" s="123"/>
      <c r="AB230" s="123"/>
      <c r="AC230" s="123"/>
    </row>
    <row r="231" spans="1:34" ht="13.25" hidden="1" customHeight="1" x14ac:dyDescent="0.2">
      <c r="A231" s="119"/>
      <c r="B231" s="330"/>
      <c r="C231" s="311"/>
      <c r="D231" s="325"/>
      <c r="E231" s="223"/>
      <c r="F231" s="223"/>
      <c r="G231" s="223"/>
      <c r="H231" s="223"/>
      <c r="I231" s="223"/>
      <c r="J231" s="223"/>
      <c r="K231" s="120"/>
      <c r="L231" s="120"/>
      <c r="M231" s="121"/>
      <c r="N231" s="121"/>
      <c r="O231" s="120"/>
      <c r="P231" s="120"/>
      <c r="Q231" s="121"/>
      <c r="R231" s="121"/>
      <c r="S231" s="328"/>
      <c r="X231" s="123"/>
      <c r="Y231" s="123"/>
      <c r="Z231" s="123"/>
      <c r="AA231" s="123"/>
      <c r="AB231" s="123"/>
      <c r="AC231" s="123"/>
    </row>
    <row r="232" spans="1:34" ht="13.25" hidden="1" customHeight="1" x14ac:dyDescent="0.2">
      <c r="B232" s="330"/>
      <c r="C232" s="118" t="s">
        <v>379</v>
      </c>
      <c r="D232" s="132">
        <f t="shared" ref="D232:D243" si="175">D218</f>
        <v>0</v>
      </c>
      <c r="E232" s="223">
        <f t="shared" ref="E232:J243" si="176">IFERROR(ROUNDUP($D232*E218/SUM($E218:$J218),0),0)</f>
        <v>0</v>
      </c>
      <c r="F232" s="223">
        <f t="shared" si="176"/>
        <v>0</v>
      </c>
      <c r="G232" s="223">
        <f t="shared" si="176"/>
        <v>0</v>
      </c>
      <c r="H232" s="223">
        <f t="shared" si="176"/>
        <v>0</v>
      </c>
      <c r="I232" s="223">
        <f t="shared" si="176"/>
        <v>0</v>
      </c>
      <c r="J232" s="223">
        <f t="shared" si="176"/>
        <v>0</v>
      </c>
      <c r="K232" s="120"/>
      <c r="L232" s="120"/>
      <c r="M232" s="121"/>
      <c r="N232" s="121"/>
      <c r="O232" s="120"/>
      <c r="P232" s="120"/>
      <c r="Q232" s="121"/>
      <c r="R232" s="121"/>
      <c r="S232" s="153"/>
      <c r="T232" s="123"/>
      <c r="X232" s="123"/>
      <c r="Y232" s="123"/>
      <c r="Z232" s="123"/>
      <c r="AA232" s="123"/>
      <c r="AB232" s="123"/>
      <c r="AC232" s="123"/>
    </row>
    <row r="233" spans="1:34" ht="13.25" hidden="1" customHeight="1" x14ac:dyDescent="0.2">
      <c r="B233" s="330"/>
      <c r="C233" s="118" t="s">
        <v>380</v>
      </c>
      <c r="D233" s="132">
        <f t="shared" si="175"/>
        <v>0</v>
      </c>
      <c r="E233" s="223">
        <f t="shared" si="176"/>
        <v>0</v>
      </c>
      <c r="F233" s="223">
        <f t="shared" si="176"/>
        <v>0</v>
      </c>
      <c r="G233" s="223">
        <f t="shared" si="176"/>
        <v>0</v>
      </c>
      <c r="H233" s="223">
        <f t="shared" si="176"/>
        <v>0</v>
      </c>
      <c r="I233" s="223">
        <f t="shared" si="176"/>
        <v>0</v>
      </c>
      <c r="J233" s="223">
        <f t="shared" si="176"/>
        <v>0</v>
      </c>
      <c r="K233" s="120"/>
      <c r="L233" s="120"/>
      <c r="M233" s="121"/>
      <c r="N233" s="121"/>
      <c r="O233" s="120"/>
      <c r="P233" s="120"/>
      <c r="Q233" s="121"/>
      <c r="R233" s="121"/>
      <c r="S233" s="153"/>
      <c r="T233" s="123"/>
      <c r="X233" s="123"/>
      <c r="Y233" s="123"/>
      <c r="Z233" s="123"/>
      <c r="AA233" s="123"/>
      <c r="AB233" s="123"/>
      <c r="AC233" s="123"/>
    </row>
    <row r="234" spans="1:34" ht="13.25" hidden="1" customHeight="1" x14ac:dyDescent="0.2">
      <c r="A234" s="116"/>
      <c r="B234" s="330"/>
      <c r="C234" s="118" t="s">
        <v>381</v>
      </c>
      <c r="D234" s="132">
        <f t="shared" si="175"/>
        <v>0</v>
      </c>
      <c r="E234" s="223">
        <f t="shared" si="176"/>
        <v>0</v>
      </c>
      <c r="F234" s="223">
        <f t="shared" si="176"/>
        <v>0</v>
      </c>
      <c r="G234" s="223">
        <f t="shared" si="176"/>
        <v>0</v>
      </c>
      <c r="H234" s="223">
        <f t="shared" si="176"/>
        <v>0</v>
      </c>
      <c r="I234" s="223">
        <f t="shared" si="176"/>
        <v>0</v>
      </c>
      <c r="J234" s="223">
        <f t="shared" si="176"/>
        <v>0</v>
      </c>
      <c r="K234" s="120"/>
      <c r="L234" s="120"/>
      <c r="M234" s="121"/>
      <c r="N234" s="121"/>
      <c r="O234" s="120"/>
      <c r="P234" s="120"/>
      <c r="Q234" s="121"/>
      <c r="R234" s="121"/>
      <c r="S234" s="153"/>
      <c r="T234" s="123"/>
      <c r="X234" s="123"/>
      <c r="Y234" s="123"/>
      <c r="Z234" s="123"/>
      <c r="AA234" s="123"/>
      <c r="AB234" s="123"/>
      <c r="AC234" s="123"/>
    </row>
    <row r="235" spans="1:34" ht="13.25" hidden="1" customHeight="1" x14ac:dyDescent="0.2">
      <c r="B235" s="330"/>
      <c r="C235" s="118" t="s">
        <v>382</v>
      </c>
      <c r="D235" s="132">
        <f t="shared" si="175"/>
        <v>0</v>
      </c>
      <c r="E235" s="223">
        <f t="shared" si="176"/>
        <v>0</v>
      </c>
      <c r="F235" s="223">
        <f t="shared" si="176"/>
        <v>0</v>
      </c>
      <c r="G235" s="223">
        <f t="shared" si="176"/>
        <v>0</v>
      </c>
      <c r="H235" s="223">
        <f t="shared" si="176"/>
        <v>0</v>
      </c>
      <c r="I235" s="223">
        <f t="shared" si="176"/>
        <v>0</v>
      </c>
      <c r="J235" s="223">
        <f t="shared" si="176"/>
        <v>0</v>
      </c>
      <c r="K235" s="120"/>
      <c r="L235" s="120"/>
      <c r="M235" s="121"/>
      <c r="N235" s="121"/>
      <c r="O235" s="120"/>
      <c r="P235" s="120"/>
      <c r="Q235" s="121"/>
      <c r="R235" s="121"/>
      <c r="S235" s="153"/>
      <c r="T235" s="123"/>
      <c r="X235" s="123"/>
      <c r="Y235" s="123"/>
      <c r="Z235" s="123"/>
      <c r="AA235" s="123"/>
      <c r="AB235" s="123"/>
      <c r="AC235" s="123"/>
    </row>
    <row r="236" spans="1:34" ht="13.25" hidden="1" customHeight="1" x14ac:dyDescent="0.2">
      <c r="B236" s="330"/>
      <c r="C236" s="118" t="s">
        <v>383</v>
      </c>
      <c r="D236" s="132">
        <f t="shared" si="175"/>
        <v>0</v>
      </c>
      <c r="E236" s="223">
        <f t="shared" si="176"/>
        <v>0</v>
      </c>
      <c r="F236" s="223">
        <f t="shared" si="176"/>
        <v>0</v>
      </c>
      <c r="G236" s="223">
        <f t="shared" si="176"/>
        <v>0</v>
      </c>
      <c r="H236" s="223">
        <f t="shared" si="176"/>
        <v>0</v>
      </c>
      <c r="I236" s="223">
        <f t="shared" si="176"/>
        <v>0</v>
      </c>
      <c r="J236" s="223">
        <f t="shared" si="176"/>
        <v>0</v>
      </c>
      <c r="K236" s="120"/>
      <c r="L236" s="120"/>
      <c r="M236" s="121"/>
      <c r="N236" s="121"/>
      <c r="O236" s="120"/>
      <c r="P236" s="120"/>
      <c r="Q236" s="121"/>
      <c r="R236" s="121"/>
      <c r="S236" s="153"/>
      <c r="T236" s="123"/>
      <c r="X236" s="123"/>
      <c r="Y236" s="123"/>
      <c r="Z236" s="123"/>
      <c r="AA236" s="123"/>
      <c r="AB236" s="123"/>
      <c r="AC236" s="123"/>
    </row>
    <row r="237" spans="1:34" ht="13.25" hidden="1" customHeight="1" x14ac:dyDescent="0.2">
      <c r="B237" s="330"/>
      <c r="C237" s="118" t="s">
        <v>384</v>
      </c>
      <c r="D237" s="132">
        <f t="shared" si="175"/>
        <v>0</v>
      </c>
      <c r="E237" s="223">
        <f t="shared" si="176"/>
        <v>0</v>
      </c>
      <c r="F237" s="223">
        <f t="shared" si="176"/>
        <v>0</v>
      </c>
      <c r="G237" s="223">
        <f t="shared" si="176"/>
        <v>0</v>
      </c>
      <c r="H237" s="223">
        <f t="shared" si="176"/>
        <v>0</v>
      </c>
      <c r="I237" s="223">
        <f t="shared" si="176"/>
        <v>0</v>
      </c>
      <c r="J237" s="223">
        <f t="shared" si="176"/>
        <v>0</v>
      </c>
      <c r="K237" s="120"/>
      <c r="L237" s="120"/>
      <c r="M237" s="121"/>
      <c r="N237" s="121"/>
      <c r="O237" s="120"/>
      <c r="P237" s="120"/>
      <c r="Q237" s="121"/>
      <c r="R237" s="121"/>
      <c r="S237" s="153"/>
      <c r="T237" s="123"/>
      <c r="X237" s="123"/>
      <c r="Y237" s="123"/>
      <c r="Z237" s="123"/>
      <c r="AA237" s="123"/>
      <c r="AB237" s="123"/>
      <c r="AC237" s="123"/>
    </row>
    <row r="238" spans="1:34" ht="13.25" hidden="1" customHeight="1" x14ac:dyDescent="0.2">
      <c r="B238" s="330"/>
      <c r="C238" s="118" t="s">
        <v>172</v>
      </c>
      <c r="D238" s="132">
        <f t="shared" si="175"/>
        <v>0</v>
      </c>
      <c r="E238" s="223">
        <f t="shared" si="176"/>
        <v>0</v>
      </c>
      <c r="F238" s="223">
        <f t="shared" si="176"/>
        <v>0</v>
      </c>
      <c r="G238" s="223">
        <f t="shared" si="176"/>
        <v>0</v>
      </c>
      <c r="H238" s="223">
        <f t="shared" si="176"/>
        <v>0</v>
      </c>
      <c r="I238" s="223">
        <f t="shared" si="176"/>
        <v>0</v>
      </c>
      <c r="J238" s="223">
        <f t="shared" si="176"/>
        <v>0</v>
      </c>
      <c r="K238" s="120"/>
      <c r="L238" s="120"/>
      <c r="M238" s="121"/>
      <c r="N238" s="121"/>
      <c r="O238" s="120"/>
      <c r="P238" s="120"/>
      <c r="Q238" s="121"/>
      <c r="R238" s="121"/>
      <c r="S238" s="153"/>
      <c r="T238" s="123"/>
      <c r="X238" s="123"/>
      <c r="Y238" s="123"/>
      <c r="Z238" s="123"/>
      <c r="AA238" s="123"/>
      <c r="AB238" s="123"/>
      <c r="AC238" s="123"/>
    </row>
    <row r="239" spans="1:34" ht="13.25" hidden="1" customHeight="1" x14ac:dyDescent="0.2">
      <c r="B239" s="330"/>
      <c r="C239" s="118" t="s">
        <v>173</v>
      </c>
      <c r="D239" s="132">
        <f t="shared" si="175"/>
        <v>0</v>
      </c>
      <c r="E239" s="223">
        <f t="shared" si="176"/>
        <v>0</v>
      </c>
      <c r="F239" s="223">
        <f t="shared" si="176"/>
        <v>0</v>
      </c>
      <c r="G239" s="223">
        <f t="shared" si="176"/>
        <v>0</v>
      </c>
      <c r="H239" s="223">
        <f t="shared" si="176"/>
        <v>0</v>
      </c>
      <c r="I239" s="223">
        <f t="shared" si="176"/>
        <v>0</v>
      </c>
      <c r="J239" s="223">
        <f t="shared" si="176"/>
        <v>0</v>
      </c>
      <c r="K239" s="120"/>
      <c r="L239" s="120"/>
      <c r="M239" s="121"/>
      <c r="N239" s="121"/>
      <c r="O239" s="120"/>
      <c r="P239" s="120"/>
      <c r="Q239" s="121"/>
      <c r="R239" s="121"/>
      <c r="S239" s="153"/>
      <c r="T239" s="123"/>
      <c r="X239" s="123"/>
      <c r="Y239" s="123"/>
      <c r="Z239" s="123"/>
      <c r="AA239" s="123"/>
      <c r="AB239" s="123"/>
      <c r="AC239" s="123"/>
    </row>
    <row r="240" spans="1:34" ht="13.25" hidden="1" customHeight="1" x14ac:dyDescent="0.2">
      <c r="B240" s="330"/>
      <c r="C240" s="118" t="s">
        <v>174</v>
      </c>
      <c r="D240" s="132">
        <f t="shared" si="175"/>
        <v>0</v>
      </c>
      <c r="E240" s="223">
        <f t="shared" si="176"/>
        <v>0</v>
      </c>
      <c r="F240" s="223">
        <f t="shared" si="176"/>
        <v>0</v>
      </c>
      <c r="G240" s="223">
        <f t="shared" si="176"/>
        <v>0</v>
      </c>
      <c r="H240" s="223">
        <f t="shared" si="176"/>
        <v>0</v>
      </c>
      <c r="I240" s="223">
        <f t="shared" si="176"/>
        <v>0</v>
      </c>
      <c r="J240" s="223">
        <f t="shared" si="176"/>
        <v>0</v>
      </c>
      <c r="K240" s="120"/>
      <c r="L240" s="120"/>
      <c r="M240" s="121"/>
      <c r="N240" s="121"/>
      <c r="O240" s="120"/>
      <c r="P240" s="120"/>
      <c r="Q240" s="121"/>
      <c r="R240" s="121"/>
      <c r="S240" s="153"/>
      <c r="T240" s="123"/>
      <c r="X240" s="123"/>
      <c r="Y240" s="123"/>
      <c r="Z240" s="123"/>
      <c r="AA240" s="123"/>
      <c r="AB240" s="123"/>
      <c r="AC240" s="123"/>
    </row>
    <row r="241" spans="2:20" ht="13.25" hidden="1" customHeight="1" x14ac:dyDescent="0.2">
      <c r="B241" s="330"/>
      <c r="C241" s="118" t="s">
        <v>385</v>
      </c>
      <c r="D241" s="132">
        <f t="shared" si="175"/>
        <v>0</v>
      </c>
      <c r="E241" s="223">
        <f t="shared" si="176"/>
        <v>0</v>
      </c>
      <c r="F241" s="223">
        <f t="shared" si="176"/>
        <v>0</v>
      </c>
      <c r="G241" s="223">
        <f t="shared" si="176"/>
        <v>0</v>
      </c>
      <c r="H241" s="223">
        <f t="shared" si="176"/>
        <v>0</v>
      </c>
      <c r="I241" s="223">
        <f t="shared" si="176"/>
        <v>0</v>
      </c>
      <c r="J241" s="223">
        <f t="shared" si="176"/>
        <v>0</v>
      </c>
      <c r="K241" s="120"/>
      <c r="L241" s="120"/>
      <c r="M241" s="121"/>
      <c r="N241" s="121"/>
      <c r="O241" s="120"/>
      <c r="P241" s="120"/>
      <c r="Q241" s="121"/>
      <c r="R241" s="121"/>
      <c r="S241" s="153"/>
      <c r="T241" s="123"/>
    </row>
    <row r="242" spans="2:20" ht="13.25" hidden="1" customHeight="1" x14ac:dyDescent="0.2">
      <c r="B242" s="330"/>
      <c r="C242" s="118" t="s">
        <v>386</v>
      </c>
      <c r="D242" s="132">
        <f t="shared" si="175"/>
        <v>0</v>
      </c>
      <c r="E242" s="223">
        <f t="shared" si="176"/>
        <v>0</v>
      </c>
      <c r="F242" s="223">
        <f t="shared" si="176"/>
        <v>0</v>
      </c>
      <c r="G242" s="223">
        <f t="shared" si="176"/>
        <v>0</v>
      </c>
      <c r="H242" s="223">
        <f t="shared" si="176"/>
        <v>0</v>
      </c>
      <c r="I242" s="223">
        <f t="shared" si="176"/>
        <v>0</v>
      </c>
      <c r="J242" s="223">
        <f t="shared" si="176"/>
        <v>0</v>
      </c>
      <c r="K242" s="120"/>
      <c r="L242" s="120"/>
      <c r="M242" s="121"/>
      <c r="N242" s="121"/>
      <c r="O242" s="120"/>
      <c r="P242" s="120"/>
      <c r="Q242" s="121"/>
      <c r="R242" s="121"/>
      <c r="S242" s="153"/>
      <c r="T242" s="123"/>
    </row>
    <row r="243" spans="2:20" ht="13.25" hidden="1" customHeight="1" x14ac:dyDescent="0.2">
      <c r="B243" s="330"/>
      <c r="C243" s="118" t="s">
        <v>387</v>
      </c>
      <c r="D243" s="132">
        <f t="shared" si="175"/>
        <v>0</v>
      </c>
      <c r="E243" s="223">
        <f t="shared" si="176"/>
        <v>0</v>
      </c>
      <c r="F243" s="223">
        <f t="shared" si="176"/>
        <v>0</v>
      </c>
      <c r="G243" s="223">
        <f t="shared" si="176"/>
        <v>0</v>
      </c>
      <c r="H243" s="223">
        <f t="shared" si="176"/>
        <v>0</v>
      </c>
      <c r="I243" s="223">
        <f t="shared" si="176"/>
        <v>0</v>
      </c>
      <c r="J243" s="223">
        <f t="shared" si="176"/>
        <v>0</v>
      </c>
      <c r="K243" s="120"/>
      <c r="L243" s="120"/>
      <c r="M243" s="121"/>
      <c r="N243" s="121"/>
      <c r="O243" s="120"/>
      <c r="P243" s="120"/>
      <c r="Q243" s="121"/>
      <c r="R243" s="121"/>
      <c r="S243" s="153"/>
      <c r="T243" s="123"/>
    </row>
    <row r="244" spans="2:20" ht="13.25" hidden="1" customHeight="1" x14ac:dyDescent="0.2">
      <c r="B244" s="330"/>
      <c r="C244" s="311" t="s">
        <v>611</v>
      </c>
      <c r="D244" s="325"/>
      <c r="E244" s="326">
        <f t="shared" ref="E244:J244" si="177">AVERAGE(E232:E243)</f>
        <v>0</v>
      </c>
      <c r="F244" s="326">
        <f t="shared" si="177"/>
        <v>0</v>
      </c>
      <c r="G244" s="326">
        <f t="shared" si="177"/>
        <v>0</v>
      </c>
      <c r="H244" s="326">
        <f t="shared" si="177"/>
        <v>0</v>
      </c>
      <c r="I244" s="326">
        <f t="shared" si="177"/>
        <v>0</v>
      </c>
      <c r="J244" s="326">
        <f t="shared" si="177"/>
        <v>0</v>
      </c>
      <c r="K244" s="120"/>
      <c r="L244" s="120"/>
      <c r="M244" s="121"/>
      <c r="N244" s="121"/>
      <c r="O244" s="120"/>
      <c r="P244" s="120"/>
      <c r="Q244" s="121"/>
      <c r="R244" s="121"/>
      <c r="S244" s="153"/>
      <c r="T244" s="123"/>
    </row>
    <row r="245" spans="2:20" ht="13.25" hidden="1" customHeight="1" x14ac:dyDescent="0.2">
      <c r="B245" s="330"/>
      <c r="C245" s="311"/>
      <c r="D245" s="325"/>
      <c r="E245" s="326"/>
      <c r="F245" s="326"/>
      <c r="G245" s="326"/>
      <c r="H245" s="326"/>
      <c r="I245" s="326"/>
      <c r="J245" s="326"/>
      <c r="K245" s="120"/>
      <c r="L245" s="120"/>
      <c r="M245" s="121"/>
      <c r="N245" s="121"/>
      <c r="O245" s="120"/>
      <c r="P245" s="120"/>
      <c r="Q245" s="121"/>
      <c r="R245" s="121"/>
      <c r="S245" s="153"/>
      <c r="T245" s="123"/>
    </row>
    <row r="246" spans="2:20" ht="13.25" hidden="1" customHeight="1" x14ac:dyDescent="0.2">
      <c r="B246" s="330"/>
      <c r="C246" s="118"/>
      <c r="D246" s="325"/>
      <c r="E246" s="327"/>
      <c r="F246" s="327"/>
      <c r="G246" s="327"/>
      <c r="H246" s="327"/>
      <c r="I246" s="327"/>
      <c r="J246" s="327"/>
      <c r="K246" s="252" t="s">
        <v>107</v>
      </c>
      <c r="L246" s="120"/>
      <c r="M246" s="121"/>
      <c r="N246" s="121"/>
      <c r="O246" s="120"/>
      <c r="P246" s="120"/>
      <c r="Q246" s="121"/>
      <c r="R246" s="121"/>
      <c r="S246" s="153"/>
      <c r="T246" s="123"/>
    </row>
    <row r="247" spans="2:20" ht="13.25" hidden="1" customHeight="1" x14ac:dyDescent="0.2">
      <c r="B247" s="330"/>
      <c r="C247" s="118" t="s">
        <v>122</v>
      </c>
      <c r="D247" s="132">
        <f t="shared" ref="D247:D258" si="178">MIN(ROUNDDOWN(SUM(E247:J247),-2),$V$82)</f>
        <v>0</v>
      </c>
      <c r="E247" s="223">
        <f t="shared" ref="E247:J258" si="179">IF(L52=1,MIN(E$137+L247-(L69*E$137),$V$82),0)</f>
        <v>0</v>
      </c>
      <c r="F247" s="223">
        <f t="shared" si="179"/>
        <v>0</v>
      </c>
      <c r="G247" s="223">
        <f t="shared" si="179"/>
        <v>0</v>
      </c>
      <c r="H247" s="223">
        <f t="shared" si="179"/>
        <v>0</v>
      </c>
      <c r="I247" s="223">
        <f t="shared" si="179"/>
        <v>0</v>
      </c>
      <c r="J247" s="223">
        <f t="shared" si="179"/>
        <v>0</v>
      </c>
      <c r="K247" s="121">
        <f t="array" ref="K247">IF(COUNTIF(L52:Q52,1)&gt;0,$V$80+MAX(IF(L52:Q52=1,$E$118:$J$118,-100000)),0)</f>
        <v>0</v>
      </c>
      <c r="L247" s="121">
        <f t="shared" ref="L247:Q258" si="180">IFERROR(IF(L52=1,ROUNDUP($K247*1/$R52,0),0),0)</f>
        <v>0</v>
      </c>
      <c r="M247" s="121">
        <f t="shared" si="180"/>
        <v>0</v>
      </c>
      <c r="N247" s="121">
        <f t="shared" si="180"/>
        <v>0</v>
      </c>
      <c r="O247" s="121">
        <f t="shared" si="180"/>
        <v>0</v>
      </c>
      <c r="P247" s="121">
        <f t="shared" si="180"/>
        <v>0</v>
      </c>
      <c r="Q247" s="121">
        <f t="shared" si="180"/>
        <v>0</v>
      </c>
      <c r="R247" s="121"/>
      <c r="S247" s="153"/>
      <c r="T247" s="123"/>
    </row>
    <row r="248" spans="2:20" ht="13.25" hidden="1" customHeight="1" x14ac:dyDescent="0.2">
      <c r="B248" s="330"/>
      <c r="C248" s="118" t="s">
        <v>123</v>
      </c>
      <c r="D248" s="132">
        <f t="shared" si="178"/>
        <v>0</v>
      </c>
      <c r="E248" s="223">
        <f t="shared" si="179"/>
        <v>0</v>
      </c>
      <c r="F248" s="223">
        <f t="shared" si="179"/>
        <v>0</v>
      </c>
      <c r="G248" s="223">
        <f t="shared" si="179"/>
        <v>0</v>
      </c>
      <c r="H248" s="223">
        <f t="shared" si="179"/>
        <v>0</v>
      </c>
      <c r="I248" s="223">
        <f t="shared" si="179"/>
        <v>0</v>
      </c>
      <c r="J248" s="223">
        <f t="shared" si="179"/>
        <v>0</v>
      </c>
      <c r="K248" s="121">
        <f t="array" ref="K248">IF(COUNTIF(L53:Q53,1)&gt;0,$V$80+MAX(IF(L53:Q53=1,$E$118:$J$118,-100000)),0)</f>
        <v>0</v>
      </c>
      <c r="L248" s="121">
        <f t="shared" si="180"/>
        <v>0</v>
      </c>
      <c r="M248" s="121">
        <f t="shared" si="180"/>
        <v>0</v>
      </c>
      <c r="N248" s="121">
        <f t="shared" si="180"/>
        <v>0</v>
      </c>
      <c r="O248" s="121">
        <f t="shared" si="180"/>
        <v>0</v>
      </c>
      <c r="P248" s="121">
        <f t="shared" si="180"/>
        <v>0</v>
      </c>
      <c r="Q248" s="121">
        <f t="shared" si="180"/>
        <v>0</v>
      </c>
      <c r="R248" s="121"/>
      <c r="S248" s="153"/>
      <c r="T248" s="123"/>
    </row>
    <row r="249" spans="2:20" ht="13.25" hidden="1" customHeight="1" x14ac:dyDescent="0.2">
      <c r="B249" s="330"/>
      <c r="C249" s="118" t="s">
        <v>124</v>
      </c>
      <c r="D249" s="132">
        <f t="shared" si="178"/>
        <v>0</v>
      </c>
      <c r="E249" s="223">
        <f t="shared" si="179"/>
        <v>0</v>
      </c>
      <c r="F249" s="223">
        <f t="shared" si="179"/>
        <v>0</v>
      </c>
      <c r="G249" s="223">
        <f t="shared" si="179"/>
        <v>0</v>
      </c>
      <c r="H249" s="223">
        <f t="shared" si="179"/>
        <v>0</v>
      </c>
      <c r="I249" s="223">
        <f t="shared" si="179"/>
        <v>0</v>
      </c>
      <c r="J249" s="223">
        <f t="shared" si="179"/>
        <v>0</v>
      </c>
      <c r="K249" s="121">
        <f t="array" ref="K249">IF(COUNTIF(L54:Q54,1)&gt;0,$V$80+MAX(IF(L54:Q54=1,$E$118:$J$118,-100000)),0)</f>
        <v>0</v>
      </c>
      <c r="L249" s="121">
        <f t="shared" si="180"/>
        <v>0</v>
      </c>
      <c r="M249" s="121">
        <f t="shared" si="180"/>
        <v>0</v>
      </c>
      <c r="N249" s="121">
        <f t="shared" si="180"/>
        <v>0</v>
      </c>
      <c r="O249" s="121">
        <f t="shared" si="180"/>
        <v>0</v>
      </c>
      <c r="P249" s="121">
        <f t="shared" si="180"/>
        <v>0</v>
      </c>
      <c r="Q249" s="121">
        <f t="shared" si="180"/>
        <v>0</v>
      </c>
      <c r="R249" s="121"/>
      <c r="S249" s="153"/>
      <c r="T249" s="123"/>
    </row>
    <row r="250" spans="2:20" ht="13.25" hidden="1" customHeight="1" x14ac:dyDescent="0.2">
      <c r="B250" s="330"/>
      <c r="C250" s="118" t="s">
        <v>125</v>
      </c>
      <c r="D250" s="132">
        <f t="shared" si="178"/>
        <v>0</v>
      </c>
      <c r="E250" s="223">
        <f t="shared" si="179"/>
        <v>0</v>
      </c>
      <c r="F250" s="223">
        <f t="shared" si="179"/>
        <v>0</v>
      </c>
      <c r="G250" s="223">
        <f t="shared" si="179"/>
        <v>0</v>
      </c>
      <c r="H250" s="223">
        <f t="shared" si="179"/>
        <v>0</v>
      </c>
      <c r="I250" s="223">
        <f t="shared" si="179"/>
        <v>0</v>
      </c>
      <c r="J250" s="223">
        <f t="shared" si="179"/>
        <v>0</v>
      </c>
      <c r="K250" s="121">
        <f t="array" ref="K250">IF(COUNTIF(L55:Q55,1)&gt;0,$V$80+MAX(IF(L55:Q55=1,$E$118:$J$118,-100000)),0)</f>
        <v>0</v>
      </c>
      <c r="L250" s="121">
        <f t="shared" si="180"/>
        <v>0</v>
      </c>
      <c r="M250" s="121">
        <f t="shared" si="180"/>
        <v>0</v>
      </c>
      <c r="N250" s="121">
        <f t="shared" si="180"/>
        <v>0</v>
      </c>
      <c r="O250" s="121">
        <f t="shared" si="180"/>
        <v>0</v>
      </c>
      <c r="P250" s="121">
        <f t="shared" si="180"/>
        <v>0</v>
      </c>
      <c r="Q250" s="121">
        <f t="shared" si="180"/>
        <v>0</v>
      </c>
      <c r="R250" s="121"/>
      <c r="S250" s="153"/>
      <c r="T250" s="123"/>
    </row>
    <row r="251" spans="2:20" ht="13.25" hidden="1" customHeight="1" x14ac:dyDescent="0.2">
      <c r="B251" s="330"/>
      <c r="C251" s="118" t="s">
        <v>126</v>
      </c>
      <c r="D251" s="132">
        <f t="shared" si="178"/>
        <v>0</v>
      </c>
      <c r="E251" s="223">
        <f t="shared" si="179"/>
        <v>0</v>
      </c>
      <c r="F251" s="223">
        <f t="shared" si="179"/>
        <v>0</v>
      </c>
      <c r="G251" s="223">
        <f t="shared" si="179"/>
        <v>0</v>
      </c>
      <c r="H251" s="223">
        <f t="shared" si="179"/>
        <v>0</v>
      </c>
      <c r="I251" s="223">
        <f t="shared" si="179"/>
        <v>0</v>
      </c>
      <c r="J251" s="223">
        <f t="shared" si="179"/>
        <v>0</v>
      </c>
      <c r="K251" s="121">
        <f t="array" ref="K251">IF(COUNTIF(L56:Q56,1)&gt;0,$V$80+MAX(IF(L56:Q56=1,$E$118:$J$118,-100000)),0)</f>
        <v>0</v>
      </c>
      <c r="L251" s="121">
        <f t="shared" si="180"/>
        <v>0</v>
      </c>
      <c r="M251" s="121">
        <f t="shared" si="180"/>
        <v>0</v>
      </c>
      <c r="N251" s="121">
        <f t="shared" si="180"/>
        <v>0</v>
      </c>
      <c r="O251" s="121">
        <f t="shared" si="180"/>
        <v>0</v>
      </c>
      <c r="P251" s="121">
        <f t="shared" si="180"/>
        <v>0</v>
      </c>
      <c r="Q251" s="121">
        <f t="shared" si="180"/>
        <v>0</v>
      </c>
      <c r="R251" s="121"/>
      <c r="S251" s="153"/>
      <c r="T251" s="123"/>
    </row>
    <row r="252" spans="2:20" ht="13.25" hidden="1" customHeight="1" x14ac:dyDescent="0.2">
      <c r="B252" s="330"/>
      <c r="C252" s="118" t="s">
        <v>127</v>
      </c>
      <c r="D252" s="132">
        <f t="shared" si="178"/>
        <v>0</v>
      </c>
      <c r="E252" s="223">
        <f t="shared" si="179"/>
        <v>0</v>
      </c>
      <c r="F252" s="223">
        <f t="shared" si="179"/>
        <v>0</v>
      </c>
      <c r="G252" s="223">
        <f t="shared" si="179"/>
        <v>0</v>
      </c>
      <c r="H252" s="223">
        <f t="shared" si="179"/>
        <v>0</v>
      </c>
      <c r="I252" s="223">
        <f t="shared" si="179"/>
        <v>0</v>
      </c>
      <c r="J252" s="223">
        <f t="shared" si="179"/>
        <v>0</v>
      </c>
      <c r="K252" s="121">
        <f t="array" ref="K252">IF(COUNTIF(L57:Q57,1)&gt;0,$V$80+MAX(IF(L57:Q57=1,$E$118:$J$118,-100000)),0)</f>
        <v>0</v>
      </c>
      <c r="L252" s="121">
        <f t="shared" si="180"/>
        <v>0</v>
      </c>
      <c r="M252" s="121">
        <f t="shared" si="180"/>
        <v>0</v>
      </c>
      <c r="N252" s="121">
        <f t="shared" si="180"/>
        <v>0</v>
      </c>
      <c r="O252" s="121">
        <f t="shared" si="180"/>
        <v>0</v>
      </c>
      <c r="P252" s="121">
        <f t="shared" si="180"/>
        <v>0</v>
      </c>
      <c r="Q252" s="121">
        <f t="shared" si="180"/>
        <v>0</v>
      </c>
      <c r="R252" s="121"/>
      <c r="S252" s="153"/>
      <c r="T252" s="123"/>
    </row>
    <row r="253" spans="2:20" ht="13.25" hidden="1" customHeight="1" x14ac:dyDescent="0.2">
      <c r="B253" s="330"/>
      <c r="C253" s="118" t="s">
        <v>128</v>
      </c>
      <c r="D253" s="132">
        <f t="shared" si="178"/>
        <v>0</v>
      </c>
      <c r="E253" s="223">
        <f t="shared" si="179"/>
        <v>0</v>
      </c>
      <c r="F253" s="223">
        <f t="shared" si="179"/>
        <v>0</v>
      </c>
      <c r="G253" s="223">
        <f t="shared" si="179"/>
        <v>0</v>
      </c>
      <c r="H253" s="223">
        <f t="shared" si="179"/>
        <v>0</v>
      </c>
      <c r="I253" s="223">
        <f t="shared" si="179"/>
        <v>0</v>
      </c>
      <c r="J253" s="223">
        <f t="shared" si="179"/>
        <v>0</v>
      </c>
      <c r="K253" s="121">
        <f t="array" ref="K253">IF(COUNTIF(L58:Q58,1)&gt;0,$V$80+MAX(IF(L58:Q58=1,$E$118:$J$118,-100000)),0)</f>
        <v>0</v>
      </c>
      <c r="L253" s="121">
        <f t="shared" si="180"/>
        <v>0</v>
      </c>
      <c r="M253" s="121">
        <f t="shared" si="180"/>
        <v>0</v>
      </c>
      <c r="N253" s="121">
        <f t="shared" si="180"/>
        <v>0</v>
      </c>
      <c r="O253" s="121">
        <f t="shared" si="180"/>
        <v>0</v>
      </c>
      <c r="P253" s="121">
        <f t="shared" si="180"/>
        <v>0</v>
      </c>
      <c r="Q253" s="121">
        <f t="shared" si="180"/>
        <v>0</v>
      </c>
      <c r="R253" s="121"/>
      <c r="S253" s="153"/>
      <c r="T253" s="123"/>
    </row>
    <row r="254" spans="2:20" ht="13.25" hidden="1" customHeight="1" x14ac:dyDescent="0.2">
      <c r="B254" s="330"/>
      <c r="C254" s="118" t="s">
        <v>129</v>
      </c>
      <c r="D254" s="132">
        <f t="shared" si="178"/>
        <v>0</v>
      </c>
      <c r="E254" s="223">
        <f t="shared" si="179"/>
        <v>0</v>
      </c>
      <c r="F254" s="223">
        <f t="shared" si="179"/>
        <v>0</v>
      </c>
      <c r="G254" s="223">
        <f t="shared" si="179"/>
        <v>0</v>
      </c>
      <c r="H254" s="223">
        <f t="shared" si="179"/>
        <v>0</v>
      </c>
      <c r="I254" s="223">
        <f t="shared" si="179"/>
        <v>0</v>
      </c>
      <c r="J254" s="223">
        <f t="shared" si="179"/>
        <v>0</v>
      </c>
      <c r="K254" s="121">
        <f t="array" ref="K254">IF(COUNTIF(L59:Q59,1)&gt;0,$V$80+MAX(IF(L59:Q59=1,$E$118:$J$118,-100000)),0)</f>
        <v>0</v>
      </c>
      <c r="L254" s="121">
        <f t="shared" si="180"/>
        <v>0</v>
      </c>
      <c r="M254" s="121">
        <f t="shared" si="180"/>
        <v>0</v>
      </c>
      <c r="N254" s="121">
        <f t="shared" si="180"/>
        <v>0</v>
      </c>
      <c r="O254" s="121">
        <f t="shared" si="180"/>
        <v>0</v>
      </c>
      <c r="P254" s="121">
        <f t="shared" si="180"/>
        <v>0</v>
      </c>
      <c r="Q254" s="121">
        <f t="shared" si="180"/>
        <v>0</v>
      </c>
      <c r="R254" s="121"/>
      <c r="S254" s="153"/>
      <c r="T254" s="123"/>
    </row>
    <row r="255" spans="2:20" ht="13.25" hidden="1" customHeight="1" x14ac:dyDescent="0.2">
      <c r="B255" s="330"/>
      <c r="C255" s="118" t="s">
        <v>130</v>
      </c>
      <c r="D255" s="132">
        <f t="shared" si="178"/>
        <v>0</v>
      </c>
      <c r="E255" s="223">
        <f t="shared" si="179"/>
        <v>0</v>
      </c>
      <c r="F255" s="223">
        <f t="shared" si="179"/>
        <v>0</v>
      </c>
      <c r="G255" s="223">
        <f t="shared" si="179"/>
        <v>0</v>
      </c>
      <c r="H255" s="223">
        <f t="shared" si="179"/>
        <v>0</v>
      </c>
      <c r="I255" s="223">
        <f t="shared" si="179"/>
        <v>0</v>
      </c>
      <c r="J255" s="223">
        <f t="shared" si="179"/>
        <v>0</v>
      </c>
      <c r="K255" s="121">
        <f t="array" ref="K255">IF(COUNTIF(L60:Q60,1)&gt;0,$V$80+MAX(IF(L60:Q60=1,$E$118:$J$118,-100000)),0)</f>
        <v>0</v>
      </c>
      <c r="L255" s="121">
        <f t="shared" si="180"/>
        <v>0</v>
      </c>
      <c r="M255" s="121">
        <f t="shared" si="180"/>
        <v>0</v>
      </c>
      <c r="N255" s="121">
        <f t="shared" si="180"/>
        <v>0</v>
      </c>
      <c r="O255" s="121">
        <f t="shared" si="180"/>
        <v>0</v>
      </c>
      <c r="P255" s="121">
        <f t="shared" si="180"/>
        <v>0</v>
      </c>
      <c r="Q255" s="121">
        <f t="shared" si="180"/>
        <v>0</v>
      </c>
      <c r="R255" s="121"/>
      <c r="S255" s="153"/>
      <c r="T255" s="123"/>
    </row>
    <row r="256" spans="2:20" ht="13.25" hidden="1" customHeight="1" x14ac:dyDescent="0.2">
      <c r="B256" s="330"/>
      <c r="C256" s="118" t="s">
        <v>131</v>
      </c>
      <c r="D256" s="132">
        <f t="shared" si="178"/>
        <v>0</v>
      </c>
      <c r="E256" s="223">
        <f t="shared" si="179"/>
        <v>0</v>
      </c>
      <c r="F256" s="223">
        <f t="shared" si="179"/>
        <v>0</v>
      </c>
      <c r="G256" s="223">
        <f t="shared" si="179"/>
        <v>0</v>
      </c>
      <c r="H256" s="223">
        <f t="shared" si="179"/>
        <v>0</v>
      </c>
      <c r="I256" s="223">
        <f t="shared" si="179"/>
        <v>0</v>
      </c>
      <c r="J256" s="223">
        <f t="shared" si="179"/>
        <v>0</v>
      </c>
      <c r="K256" s="121">
        <f t="array" ref="K256">IF(COUNTIF(L61:Q61,1)&gt;0,$V$80+MAX(IF(L61:Q61=1,$E$118:$J$118,-100000)),0)</f>
        <v>0</v>
      </c>
      <c r="L256" s="121">
        <f t="shared" si="180"/>
        <v>0</v>
      </c>
      <c r="M256" s="121">
        <f t="shared" si="180"/>
        <v>0</v>
      </c>
      <c r="N256" s="121">
        <f t="shared" si="180"/>
        <v>0</v>
      </c>
      <c r="O256" s="121">
        <f t="shared" si="180"/>
        <v>0</v>
      </c>
      <c r="P256" s="121">
        <f t="shared" si="180"/>
        <v>0</v>
      </c>
      <c r="Q256" s="121">
        <f t="shared" si="180"/>
        <v>0</v>
      </c>
      <c r="R256" s="121"/>
      <c r="S256" s="153"/>
      <c r="T256" s="123"/>
    </row>
    <row r="257" spans="2:20" ht="13.25" hidden="1" customHeight="1" x14ac:dyDescent="0.2">
      <c r="B257" s="330"/>
      <c r="C257" s="118" t="s">
        <v>132</v>
      </c>
      <c r="D257" s="132">
        <f t="shared" si="178"/>
        <v>0</v>
      </c>
      <c r="E257" s="223">
        <f t="shared" si="179"/>
        <v>0</v>
      </c>
      <c r="F257" s="223">
        <f t="shared" si="179"/>
        <v>0</v>
      </c>
      <c r="G257" s="223">
        <f t="shared" si="179"/>
        <v>0</v>
      </c>
      <c r="H257" s="223">
        <f t="shared" si="179"/>
        <v>0</v>
      </c>
      <c r="I257" s="223">
        <f t="shared" si="179"/>
        <v>0</v>
      </c>
      <c r="J257" s="223">
        <f t="shared" si="179"/>
        <v>0</v>
      </c>
      <c r="K257" s="121">
        <f t="array" ref="K257">IF(COUNTIF(L62:Q62,1)&gt;0,$V$80+MAX(IF(L62:Q62=1,$E$118:$J$118,-100000)),0)</f>
        <v>0</v>
      </c>
      <c r="L257" s="121">
        <f t="shared" si="180"/>
        <v>0</v>
      </c>
      <c r="M257" s="121">
        <f t="shared" si="180"/>
        <v>0</v>
      </c>
      <c r="N257" s="121">
        <f t="shared" si="180"/>
        <v>0</v>
      </c>
      <c r="O257" s="121">
        <f t="shared" si="180"/>
        <v>0</v>
      </c>
      <c r="P257" s="121">
        <f t="shared" si="180"/>
        <v>0</v>
      </c>
      <c r="Q257" s="121">
        <f t="shared" si="180"/>
        <v>0</v>
      </c>
      <c r="R257" s="121"/>
      <c r="S257" s="153"/>
      <c r="T257" s="123"/>
    </row>
    <row r="258" spans="2:20" ht="13.25" hidden="1" customHeight="1" x14ac:dyDescent="0.2">
      <c r="B258" s="330"/>
      <c r="C258" s="118" t="s">
        <v>133</v>
      </c>
      <c r="D258" s="132">
        <f t="shared" si="178"/>
        <v>0</v>
      </c>
      <c r="E258" s="223">
        <f t="shared" si="179"/>
        <v>0</v>
      </c>
      <c r="F258" s="223">
        <f t="shared" si="179"/>
        <v>0</v>
      </c>
      <c r="G258" s="223">
        <f t="shared" si="179"/>
        <v>0</v>
      </c>
      <c r="H258" s="223">
        <f t="shared" si="179"/>
        <v>0</v>
      </c>
      <c r="I258" s="223">
        <f t="shared" si="179"/>
        <v>0</v>
      </c>
      <c r="J258" s="223">
        <f t="shared" si="179"/>
        <v>0</v>
      </c>
      <c r="K258" s="121">
        <f t="array" ref="K258">IF(COUNTIF(L63:Q63,1)&gt;0,$V$80+MAX(IF(L63:Q63=1,$E$118:$J$118,-100000)),0)</f>
        <v>0</v>
      </c>
      <c r="L258" s="121">
        <f t="shared" si="180"/>
        <v>0</v>
      </c>
      <c r="M258" s="121">
        <f t="shared" si="180"/>
        <v>0</v>
      </c>
      <c r="N258" s="121">
        <f t="shared" si="180"/>
        <v>0</v>
      </c>
      <c r="O258" s="121">
        <f t="shared" si="180"/>
        <v>0</v>
      </c>
      <c r="P258" s="121">
        <f t="shared" si="180"/>
        <v>0</v>
      </c>
      <c r="Q258" s="121">
        <f t="shared" si="180"/>
        <v>0</v>
      </c>
      <c r="R258" s="121"/>
      <c r="S258" s="153"/>
      <c r="T258" s="123"/>
    </row>
    <row r="259" spans="2:20" ht="13.25" hidden="1" customHeight="1" x14ac:dyDescent="0.2">
      <c r="B259" s="330"/>
      <c r="C259" s="311" t="s">
        <v>134</v>
      </c>
      <c r="D259" s="325">
        <f>ROUNDDOWN(SUM(D247:D258)/12,-2)</f>
        <v>0</v>
      </c>
      <c r="E259" s="326">
        <f t="shared" ref="E259:Q259" si="181">AVERAGE(E247:E258)</f>
        <v>0</v>
      </c>
      <c r="F259" s="326">
        <f t="shared" si="181"/>
        <v>0</v>
      </c>
      <c r="G259" s="326">
        <f t="shared" si="181"/>
        <v>0</v>
      </c>
      <c r="H259" s="326">
        <f t="shared" si="181"/>
        <v>0</v>
      </c>
      <c r="I259" s="326">
        <f t="shared" si="181"/>
        <v>0</v>
      </c>
      <c r="J259" s="326">
        <f t="shared" si="181"/>
        <v>0</v>
      </c>
      <c r="K259" s="207">
        <f t="shared" si="181"/>
        <v>0</v>
      </c>
      <c r="L259" s="207">
        <f t="shared" si="181"/>
        <v>0</v>
      </c>
      <c r="M259" s="207">
        <f t="shared" si="181"/>
        <v>0</v>
      </c>
      <c r="N259" s="207">
        <f t="shared" si="181"/>
        <v>0</v>
      </c>
      <c r="O259" s="207">
        <f t="shared" si="181"/>
        <v>0</v>
      </c>
      <c r="P259" s="207">
        <f t="shared" si="181"/>
        <v>0</v>
      </c>
      <c r="Q259" s="207">
        <f t="shared" si="181"/>
        <v>0</v>
      </c>
      <c r="R259" s="121"/>
      <c r="S259" s="153"/>
    </row>
    <row r="260" spans="2:20" ht="13.25" hidden="1" customHeight="1" x14ac:dyDescent="0.2">
      <c r="B260" s="330"/>
      <c r="C260" s="311"/>
      <c r="D260" s="325"/>
      <c r="E260" s="327"/>
      <c r="F260" s="327"/>
      <c r="G260" s="327"/>
      <c r="H260" s="327"/>
      <c r="I260" s="327"/>
      <c r="J260" s="327"/>
      <c r="K260" s="120"/>
      <c r="L260" s="120"/>
      <c r="M260" s="121"/>
      <c r="N260" s="121"/>
      <c r="O260" s="120"/>
      <c r="P260" s="120"/>
      <c r="Q260" s="121"/>
      <c r="R260" s="121"/>
      <c r="S260" s="153"/>
    </row>
    <row r="261" spans="2:20" ht="13.25" hidden="1" customHeight="1" x14ac:dyDescent="0.2">
      <c r="B261" s="330"/>
      <c r="C261" s="118" t="s">
        <v>388</v>
      </c>
      <c r="D261" s="132">
        <f t="shared" ref="D261:D272" si="182">D247</f>
        <v>0</v>
      </c>
      <c r="E261" s="223">
        <f t="shared" ref="E261:J272" si="183">IFERROR(ROUNDUP($D261*E247/SUM($E247:$J247),0),0)</f>
        <v>0</v>
      </c>
      <c r="F261" s="223">
        <f t="shared" si="183"/>
        <v>0</v>
      </c>
      <c r="G261" s="223">
        <f t="shared" si="183"/>
        <v>0</v>
      </c>
      <c r="H261" s="223">
        <f t="shared" si="183"/>
        <v>0</v>
      </c>
      <c r="I261" s="223">
        <f t="shared" si="183"/>
        <v>0</v>
      </c>
      <c r="J261" s="223">
        <f t="shared" si="183"/>
        <v>0</v>
      </c>
      <c r="K261" s="120"/>
      <c r="L261" s="120"/>
      <c r="M261" s="121"/>
      <c r="N261" s="121"/>
      <c r="O261" s="120"/>
      <c r="P261" s="120"/>
      <c r="Q261" s="121"/>
      <c r="R261" s="121"/>
      <c r="S261" s="153"/>
    </row>
    <row r="262" spans="2:20" ht="13.25" hidden="1" customHeight="1" x14ac:dyDescent="0.2">
      <c r="B262" s="330"/>
      <c r="C262" s="118" t="s">
        <v>389</v>
      </c>
      <c r="D262" s="132">
        <f t="shared" si="182"/>
        <v>0</v>
      </c>
      <c r="E262" s="223">
        <f t="shared" si="183"/>
        <v>0</v>
      </c>
      <c r="F262" s="223">
        <f t="shared" si="183"/>
        <v>0</v>
      </c>
      <c r="G262" s="223">
        <f t="shared" si="183"/>
        <v>0</v>
      </c>
      <c r="H262" s="223">
        <f t="shared" si="183"/>
        <v>0</v>
      </c>
      <c r="I262" s="223">
        <f t="shared" si="183"/>
        <v>0</v>
      </c>
      <c r="J262" s="223">
        <f t="shared" si="183"/>
        <v>0</v>
      </c>
      <c r="K262" s="120"/>
      <c r="L262" s="120"/>
      <c r="M262" s="121"/>
      <c r="N262" s="121"/>
      <c r="O262" s="120"/>
      <c r="P262" s="120"/>
      <c r="Q262" s="121"/>
      <c r="R262" s="121"/>
      <c r="S262" s="153"/>
    </row>
    <row r="263" spans="2:20" ht="13.25" hidden="1" customHeight="1" x14ac:dyDescent="0.2">
      <c r="B263" s="330"/>
      <c r="C263" s="118" t="s">
        <v>390</v>
      </c>
      <c r="D263" s="132">
        <f t="shared" si="182"/>
        <v>0</v>
      </c>
      <c r="E263" s="223">
        <f t="shared" si="183"/>
        <v>0</v>
      </c>
      <c r="F263" s="223">
        <f t="shared" si="183"/>
        <v>0</v>
      </c>
      <c r="G263" s="223">
        <f t="shared" si="183"/>
        <v>0</v>
      </c>
      <c r="H263" s="223">
        <f t="shared" si="183"/>
        <v>0</v>
      </c>
      <c r="I263" s="223">
        <f t="shared" si="183"/>
        <v>0</v>
      </c>
      <c r="J263" s="223">
        <f t="shared" si="183"/>
        <v>0</v>
      </c>
      <c r="K263" s="120"/>
      <c r="L263" s="120"/>
      <c r="M263" s="121"/>
      <c r="N263" s="121"/>
      <c r="O263" s="120"/>
      <c r="P263" s="120"/>
      <c r="Q263" s="121"/>
      <c r="R263" s="121"/>
      <c r="S263" s="153"/>
    </row>
    <row r="264" spans="2:20" ht="13.25" hidden="1" customHeight="1" x14ac:dyDescent="0.2">
      <c r="B264" s="330"/>
      <c r="C264" s="118" t="s">
        <v>391</v>
      </c>
      <c r="D264" s="132">
        <f t="shared" si="182"/>
        <v>0</v>
      </c>
      <c r="E264" s="223">
        <f t="shared" si="183"/>
        <v>0</v>
      </c>
      <c r="F264" s="223">
        <f t="shared" si="183"/>
        <v>0</v>
      </c>
      <c r="G264" s="223">
        <f t="shared" si="183"/>
        <v>0</v>
      </c>
      <c r="H264" s="223">
        <f t="shared" si="183"/>
        <v>0</v>
      </c>
      <c r="I264" s="223">
        <f t="shared" si="183"/>
        <v>0</v>
      </c>
      <c r="J264" s="223">
        <f t="shared" si="183"/>
        <v>0</v>
      </c>
      <c r="K264" s="120"/>
      <c r="L264" s="120"/>
      <c r="M264" s="121"/>
      <c r="N264" s="121"/>
      <c r="O264" s="120"/>
      <c r="P264" s="120"/>
      <c r="Q264" s="121"/>
      <c r="R264" s="121"/>
      <c r="S264" s="153"/>
    </row>
    <row r="265" spans="2:20" ht="13.25" hidden="1" customHeight="1" x14ac:dyDescent="0.2">
      <c r="B265" s="330"/>
      <c r="C265" s="118" t="s">
        <v>392</v>
      </c>
      <c r="D265" s="132">
        <f t="shared" si="182"/>
        <v>0</v>
      </c>
      <c r="E265" s="223">
        <f t="shared" si="183"/>
        <v>0</v>
      </c>
      <c r="F265" s="223">
        <f t="shared" si="183"/>
        <v>0</v>
      </c>
      <c r="G265" s="223">
        <f t="shared" si="183"/>
        <v>0</v>
      </c>
      <c r="H265" s="223">
        <f t="shared" si="183"/>
        <v>0</v>
      </c>
      <c r="I265" s="223">
        <f t="shared" si="183"/>
        <v>0</v>
      </c>
      <c r="J265" s="223">
        <f t="shared" si="183"/>
        <v>0</v>
      </c>
      <c r="K265" s="120"/>
      <c r="L265" s="120"/>
      <c r="M265" s="121"/>
      <c r="N265" s="121"/>
      <c r="O265" s="120"/>
      <c r="P265" s="120"/>
      <c r="Q265" s="121"/>
      <c r="R265" s="121"/>
      <c r="S265" s="153"/>
    </row>
    <row r="266" spans="2:20" ht="13.25" hidden="1" customHeight="1" x14ac:dyDescent="0.2">
      <c r="B266" s="330"/>
      <c r="C266" s="118" t="s">
        <v>393</v>
      </c>
      <c r="D266" s="132">
        <f t="shared" si="182"/>
        <v>0</v>
      </c>
      <c r="E266" s="223">
        <f t="shared" si="183"/>
        <v>0</v>
      </c>
      <c r="F266" s="223">
        <f t="shared" si="183"/>
        <v>0</v>
      </c>
      <c r="G266" s="223">
        <f t="shared" si="183"/>
        <v>0</v>
      </c>
      <c r="H266" s="223">
        <f t="shared" si="183"/>
        <v>0</v>
      </c>
      <c r="I266" s="223">
        <f t="shared" si="183"/>
        <v>0</v>
      </c>
      <c r="J266" s="223">
        <f t="shared" si="183"/>
        <v>0</v>
      </c>
      <c r="K266" s="120"/>
      <c r="L266" s="120"/>
      <c r="M266" s="121"/>
      <c r="N266" s="121"/>
      <c r="O266" s="120"/>
      <c r="P266" s="120"/>
      <c r="Q266" s="121"/>
      <c r="R266" s="121"/>
      <c r="S266" s="153"/>
    </row>
    <row r="267" spans="2:20" ht="13.25" hidden="1" customHeight="1" x14ac:dyDescent="0.2">
      <c r="B267" s="330"/>
      <c r="C267" s="118" t="s">
        <v>175</v>
      </c>
      <c r="D267" s="132">
        <f t="shared" si="182"/>
        <v>0</v>
      </c>
      <c r="E267" s="223">
        <f t="shared" si="183"/>
        <v>0</v>
      </c>
      <c r="F267" s="223">
        <f t="shared" si="183"/>
        <v>0</v>
      </c>
      <c r="G267" s="223">
        <f t="shared" si="183"/>
        <v>0</v>
      </c>
      <c r="H267" s="223">
        <f t="shared" si="183"/>
        <v>0</v>
      </c>
      <c r="I267" s="223">
        <f t="shared" si="183"/>
        <v>0</v>
      </c>
      <c r="J267" s="223">
        <f t="shared" si="183"/>
        <v>0</v>
      </c>
      <c r="K267" s="120"/>
      <c r="L267" s="120"/>
      <c r="M267" s="121"/>
      <c r="N267" s="121"/>
      <c r="O267" s="120"/>
      <c r="P267" s="120"/>
      <c r="Q267" s="121"/>
      <c r="R267" s="121"/>
      <c r="S267" s="153"/>
    </row>
    <row r="268" spans="2:20" ht="13.25" hidden="1" customHeight="1" x14ac:dyDescent="0.2">
      <c r="C268" s="118" t="s">
        <v>176</v>
      </c>
      <c r="D268" s="132">
        <f t="shared" si="182"/>
        <v>0</v>
      </c>
      <c r="E268" s="223">
        <f t="shared" si="183"/>
        <v>0</v>
      </c>
      <c r="F268" s="223">
        <f t="shared" si="183"/>
        <v>0</v>
      </c>
      <c r="G268" s="223">
        <f t="shared" si="183"/>
        <v>0</v>
      </c>
      <c r="H268" s="223">
        <f t="shared" si="183"/>
        <v>0</v>
      </c>
      <c r="I268" s="223">
        <f t="shared" si="183"/>
        <v>0</v>
      </c>
      <c r="J268" s="223">
        <f t="shared" si="183"/>
        <v>0</v>
      </c>
      <c r="K268" s="120"/>
      <c r="L268" s="120"/>
      <c r="M268" s="121"/>
      <c r="N268" s="121"/>
      <c r="O268" s="120"/>
      <c r="P268" s="120"/>
      <c r="Q268" s="121"/>
      <c r="R268" s="121"/>
      <c r="S268" s="153"/>
    </row>
    <row r="269" spans="2:20" ht="13.25" hidden="1" customHeight="1" x14ac:dyDescent="0.2">
      <c r="C269" s="118" t="s">
        <v>177</v>
      </c>
      <c r="D269" s="132">
        <f t="shared" si="182"/>
        <v>0</v>
      </c>
      <c r="E269" s="223">
        <f t="shared" si="183"/>
        <v>0</v>
      </c>
      <c r="F269" s="223">
        <f t="shared" si="183"/>
        <v>0</v>
      </c>
      <c r="G269" s="223">
        <f t="shared" si="183"/>
        <v>0</v>
      </c>
      <c r="H269" s="223">
        <f t="shared" si="183"/>
        <v>0</v>
      </c>
      <c r="I269" s="223">
        <f t="shared" si="183"/>
        <v>0</v>
      </c>
      <c r="J269" s="223">
        <f t="shared" si="183"/>
        <v>0</v>
      </c>
      <c r="K269" s="120"/>
      <c r="L269" s="120"/>
      <c r="M269" s="121"/>
      <c r="N269" s="121"/>
      <c r="O269" s="120"/>
      <c r="P269" s="120"/>
      <c r="Q269" s="121"/>
      <c r="R269" s="121"/>
      <c r="S269" s="153"/>
    </row>
    <row r="270" spans="2:20" ht="13.25" hidden="1" customHeight="1" x14ac:dyDescent="0.2">
      <c r="C270" s="118" t="s">
        <v>394</v>
      </c>
      <c r="D270" s="132">
        <f t="shared" si="182"/>
        <v>0</v>
      </c>
      <c r="E270" s="223">
        <f t="shared" si="183"/>
        <v>0</v>
      </c>
      <c r="F270" s="223">
        <f t="shared" si="183"/>
        <v>0</v>
      </c>
      <c r="G270" s="223">
        <f t="shared" si="183"/>
        <v>0</v>
      </c>
      <c r="H270" s="223">
        <f t="shared" si="183"/>
        <v>0</v>
      </c>
      <c r="I270" s="223">
        <f t="shared" si="183"/>
        <v>0</v>
      </c>
      <c r="J270" s="223">
        <f t="shared" si="183"/>
        <v>0</v>
      </c>
      <c r="K270" s="120"/>
      <c r="L270" s="120"/>
      <c r="M270" s="121"/>
      <c r="N270" s="121"/>
      <c r="O270" s="120"/>
      <c r="P270" s="120"/>
      <c r="Q270" s="121"/>
      <c r="R270" s="121"/>
      <c r="S270" s="153"/>
    </row>
    <row r="271" spans="2:20" ht="13.25" hidden="1" customHeight="1" x14ac:dyDescent="0.2">
      <c r="C271" s="118" t="s">
        <v>395</v>
      </c>
      <c r="D271" s="132">
        <f t="shared" si="182"/>
        <v>0</v>
      </c>
      <c r="E271" s="223">
        <f t="shared" si="183"/>
        <v>0</v>
      </c>
      <c r="F271" s="223">
        <f t="shared" si="183"/>
        <v>0</v>
      </c>
      <c r="G271" s="223">
        <f t="shared" si="183"/>
        <v>0</v>
      </c>
      <c r="H271" s="223">
        <f t="shared" si="183"/>
        <v>0</v>
      </c>
      <c r="I271" s="223">
        <f t="shared" si="183"/>
        <v>0</v>
      </c>
      <c r="J271" s="223">
        <f t="shared" si="183"/>
        <v>0</v>
      </c>
      <c r="K271" s="120"/>
      <c r="L271" s="120"/>
      <c r="M271" s="121"/>
      <c r="N271" s="121"/>
      <c r="O271" s="120"/>
      <c r="P271" s="120"/>
      <c r="Q271" s="121"/>
      <c r="R271" s="121"/>
      <c r="S271" s="153"/>
    </row>
    <row r="272" spans="2:20" ht="13.25" hidden="1" customHeight="1" x14ac:dyDescent="0.2">
      <c r="C272" s="118" t="s">
        <v>396</v>
      </c>
      <c r="D272" s="132">
        <f t="shared" si="182"/>
        <v>0</v>
      </c>
      <c r="E272" s="223">
        <f t="shared" si="183"/>
        <v>0</v>
      </c>
      <c r="F272" s="223">
        <f t="shared" si="183"/>
        <v>0</v>
      </c>
      <c r="G272" s="223">
        <f t="shared" si="183"/>
        <v>0</v>
      </c>
      <c r="H272" s="223">
        <f t="shared" si="183"/>
        <v>0</v>
      </c>
      <c r="I272" s="223">
        <f t="shared" si="183"/>
        <v>0</v>
      </c>
      <c r="J272" s="223">
        <f t="shared" si="183"/>
        <v>0</v>
      </c>
      <c r="K272" s="120"/>
      <c r="L272" s="120"/>
      <c r="M272" s="121"/>
      <c r="N272" s="121"/>
      <c r="O272" s="120"/>
      <c r="P272" s="120"/>
      <c r="Q272" s="121"/>
      <c r="R272" s="121"/>
      <c r="S272" s="153"/>
    </row>
    <row r="273" spans="1:34" ht="13.25" hidden="1" customHeight="1" x14ac:dyDescent="0.2">
      <c r="C273" s="311" t="s">
        <v>612</v>
      </c>
      <c r="D273" s="132"/>
      <c r="E273" s="326">
        <f t="shared" ref="E273:J273" si="184">AVERAGE(E261:E272)</f>
        <v>0</v>
      </c>
      <c r="F273" s="326">
        <f t="shared" si="184"/>
        <v>0</v>
      </c>
      <c r="G273" s="326">
        <f t="shared" si="184"/>
        <v>0</v>
      </c>
      <c r="H273" s="326">
        <f t="shared" si="184"/>
        <v>0</v>
      </c>
      <c r="I273" s="326">
        <f t="shared" si="184"/>
        <v>0</v>
      </c>
      <c r="J273" s="326">
        <f t="shared" si="184"/>
        <v>0</v>
      </c>
      <c r="K273" s="120"/>
      <c r="L273" s="120"/>
      <c r="M273" s="121"/>
      <c r="N273" s="121"/>
      <c r="O273" s="120"/>
      <c r="P273" s="120"/>
      <c r="Q273" s="121"/>
      <c r="R273" s="121"/>
      <c r="S273" s="153"/>
    </row>
    <row r="274" spans="1:34" ht="13.25" hidden="1" customHeight="1" x14ac:dyDescent="0.2">
      <c r="C274" s="311"/>
      <c r="D274" s="132"/>
      <c r="E274" s="326"/>
      <c r="F274" s="326"/>
      <c r="G274" s="326"/>
      <c r="H274" s="326"/>
      <c r="I274" s="326"/>
      <c r="J274" s="326"/>
      <c r="K274" s="120"/>
      <c r="L274" s="120"/>
      <c r="M274" s="121"/>
      <c r="N274" s="121"/>
      <c r="O274" s="120"/>
      <c r="P274" s="120"/>
      <c r="Q274" s="121"/>
      <c r="R274" s="121"/>
      <c r="S274" s="153"/>
    </row>
    <row r="275" spans="1:34" ht="13.25" hidden="1" customHeight="1" x14ac:dyDescent="0.2">
      <c r="C275" s="118"/>
      <c r="D275" s="132"/>
      <c r="E275" s="223"/>
      <c r="F275" s="223"/>
      <c r="G275" s="223"/>
      <c r="H275" s="223"/>
      <c r="I275" s="223"/>
      <c r="J275" s="223"/>
      <c r="K275" s="252" t="s">
        <v>107</v>
      </c>
      <c r="L275" s="120"/>
      <c r="M275" s="121"/>
      <c r="N275" s="121"/>
      <c r="O275" s="120"/>
      <c r="P275" s="120"/>
      <c r="Q275" s="121"/>
      <c r="R275" s="121"/>
      <c r="S275" s="153"/>
    </row>
    <row r="276" spans="1:34" ht="13.25" hidden="1" customHeight="1" x14ac:dyDescent="0.2">
      <c r="C276" s="118" t="s">
        <v>135</v>
      </c>
      <c r="D276" s="132">
        <f t="shared" ref="D276:D287" si="185">MIN(ROUNDDOWN(SUM(E276:J276),-2),$W$82)</f>
        <v>0</v>
      </c>
      <c r="E276" s="223">
        <f t="shared" ref="E276:E287" si="186">IF(L35=1, MIN(E$138+L276-(L69*(E$128+E$132+E$133)),$W$82), 0)</f>
        <v>0</v>
      </c>
      <c r="F276" s="223">
        <f t="shared" ref="F276:F287" si="187">IF(M35=1, MIN(F$138+M276-(M69*(F$128+F$132+F$133)),$W$82), 0)</f>
        <v>0</v>
      </c>
      <c r="G276" s="223">
        <f t="shared" ref="G276:G287" si="188">IF(N35=1, MIN(G$138+N276-(N69*(G$128+G$132+G$133)),$W$82), 0)</f>
        <v>0</v>
      </c>
      <c r="H276" s="223">
        <f t="shared" ref="H276:H287" si="189">IF(O35=1, MIN(H$138+O276-(O69*(H$128+H$132+H$133)),$W$82), 0)</f>
        <v>0</v>
      </c>
      <c r="I276" s="223">
        <f t="shared" ref="I276:I287" si="190">IF(P35=1, MIN(I$138+P276-(P69*(I$128+I$132+I$133)),$W$82), 0)</f>
        <v>0</v>
      </c>
      <c r="J276" s="223">
        <f t="shared" ref="J276:J287" si="191">IF(Q35=1, MIN(J$138+Q276-(Q69*(J$128+J$132+J$133)),$W$82), 0)</f>
        <v>0</v>
      </c>
      <c r="K276" s="121">
        <f t="array" ref="K276">IF(COUNTIF(L35:Q35,1)&gt;0,$W$80+MAX(IF(L35:Q35=1,$E$119:$J$119,-100000))+MAX(IF(L35:Q35=1,$E$122:$J$122,-100000)),0)</f>
        <v>0</v>
      </c>
      <c r="L276" s="121">
        <f t="shared" ref="L276:Q287" si="192">IFERROR(IF(L35=1,ROUNDUP($K276*1/$R35,0),0),0)</f>
        <v>0</v>
      </c>
      <c r="M276" s="121">
        <f t="shared" si="192"/>
        <v>0</v>
      </c>
      <c r="N276" s="121">
        <f t="shared" si="192"/>
        <v>0</v>
      </c>
      <c r="O276" s="121">
        <f t="shared" si="192"/>
        <v>0</v>
      </c>
      <c r="P276" s="121">
        <f t="shared" si="192"/>
        <v>0</v>
      </c>
      <c r="Q276" s="121">
        <f t="shared" si="192"/>
        <v>0</v>
      </c>
      <c r="R276" s="121"/>
      <c r="S276" s="153"/>
    </row>
    <row r="277" spans="1:34" ht="13.25" hidden="1" customHeight="1" x14ac:dyDescent="0.2">
      <c r="C277" s="118" t="s">
        <v>136</v>
      </c>
      <c r="D277" s="132">
        <f t="shared" si="185"/>
        <v>0</v>
      </c>
      <c r="E277" s="223">
        <f t="shared" si="186"/>
        <v>0</v>
      </c>
      <c r="F277" s="223">
        <f t="shared" si="187"/>
        <v>0</v>
      </c>
      <c r="G277" s="223">
        <f t="shared" si="188"/>
        <v>0</v>
      </c>
      <c r="H277" s="223">
        <f t="shared" si="189"/>
        <v>0</v>
      </c>
      <c r="I277" s="223">
        <f t="shared" si="190"/>
        <v>0</v>
      </c>
      <c r="J277" s="223">
        <f t="shared" si="191"/>
        <v>0</v>
      </c>
      <c r="K277" s="121">
        <f t="array" ref="K277">IF(COUNTIF(L36:Q36,1)&gt;0,$W$80+MAX(IF(L36:Q36=1,$E$119:$J$119,-100000))+MAX(IF(L36:Q36=1,$E$122:$J$122,-100000)),0)</f>
        <v>0</v>
      </c>
      <c r="L277" s="121">
        <f t="shared" si="192"/>
        <v>0</v>
      </c>
      <c r="M277" s="121">
        <f t="shared" si="192"/>
        <v>0</v>
      </c>
      <c r="N277" s="121">
        <f t="shared" si="192"/>
        <v>0</v>
      </c>
      <c r="O277" s="121">
        <f t="shared" si="192"/>
        <v>0</v>
      </c>
      <c r="P277" s="121">
        <f t="shared" si="192"/>
        <v>0</v>
      </c>
      <c r="Q277" s="121">
        <f t="shared" si="192"/>
        <v>0</v>
      </c>
      <c r="R277" s="121"/>
      <c r="S277" s="153"/>
    </row>
    <row r="278" spans="1:34" ht="13.25" hidden="1" customHeight="1" x14ac:dyDescent="0.2">
      <c r="C278" s="118" t="s">
        <v>137</v>
      </c>
      <c r="D278" s="132">
        <f t="shared" si="185"/>
        <v>0</v>
      </c>
      <c r="E278" s="223">
        <f t="shared" si="186"/>
        <v>0</v>
      </c>
      <c r="F278" s="223">
        <f t="shared" si="187"/>
        <v>0</v>
      </c>
      <c r="G278" s="223">
        <f t="shared" si="188"/>
        <v>0</v>
      </c>
      <c r="H278" s="223">
        <f t="shared" si="189"/>
        <v>0</v>
      </c>
      <c r="I278" s="223">
        <f t="shared" si="190"/>
        <v>0</v>
      </c>
      <c r="J278" s="223">
        <f t="shared" si="191"/>
        <v>0</v>
      </c>
      <c r="K278" s="121">
        <f t="array" ref="K278">IF(COUNTIF(L37:Q37,1)&gt;0,$W$80+MAX(IF(L37:Q37=1,$E$119:$J$119,-100000))+MAX(IF(L37:Q37=1,$E$122:$J$122,-100000)),0)</f>
        <v>0</v>
      </c>
      <c r="L278" s="121">
        <f t="shared" si="192"/>
        <v>0</v>
      </c>
      <c r="M278" s="121">
        <f t="shared" si="192"/>
        <v>0</v>
      </c>
      <c r="N278" s="121">
        <f t="shared" si="192"/>
        <v>0</v>
      </c>
      <c r="O278" s="121">
        <f t="shared" si="192"/>
        <v>0</v>
      </c>
      <c r="P278" s="121">
        <f t="shared" si="192"/>
        <v>0</v>
      </c>
      <c r="Q278" s="121">
        <f t="shared" si="192"/>
        <v>0</v>
      </c>
      <c r="R278" s="121"/>
      <c r="S278" s="153"/>
    </row>
    <row r="279" spans="1:34" ht="13.25" hidden="1" customHeight="1" x14ac:dyDescent="0.2">
      <c r="C279" s="118" t="s">
        <v>138</v>
      </c>
      <c r="D279" s="132">
        <f t="shared" si="185"/>
        <v>0</v>
      </c>
      <c r="E279" s="223">
        <f t="shared" si="186"/>
        <v>0</v>
      </c>
      <c r="F279" s="223">
        <f t="shared" si="187"/>
        <v>0</v>
      </c>
      <c r="G279" s="223">
        <f t="shared" si="188"/>
        <v>0</v>
      </c>
      <c r="H279" s="223">
        <f t="shared" si="189"/>
        <v>0</v>
      </c>
      <c r="I279" s="223">
        <f t="shared" si="190"/>
        <v>0</v>
      </c>
      <c r="J279" s="223">
        <f t="shared" si="191"/>
        <v>0</v>
      </c>
      <c r="K279" s="121">
        <f t="array" ref="K279">IF(COUNTIF(L38:Q38,1)&gt;0,$W$80+MAX(IF(L38:Q38=1,$E$119:$J$119,-100000))+MAX(IF(L38:Q38=1,$E$122:$J$122,-100000)),0)</f>
        <v>0</v>
      </c>
      <c r="L279" s="121">
        <f t="shared" si="192"/>
        <v>0</v>
      </c>
      <c r="M279" s="121">
        <f t="shared" si="192"/>
        <v>0</v>
      </c>
      <c r="N279" s="121">
        <f t="shared" si="192"/>
        <v>0</v>
      </c>
      <c r="O279" s="121">
        <f t="shared" si="192"/>
        <v>0</v>
      </c>
      <c r="P279" s="121">
        <f t="shared" si="192"/>
        <v>0</v>
      </c>
      <c r="Q279" s="121">
        <f t="shared" si="192"/>
        <v>0</v>
      </c>
      <c r="R279" s="121"/>
      <c r="S279" s="153"/>
    </row>
    <row r="280" spans="1:34" ht="13.25" hidden="1" customHeight="1" x14ac:dyDescent="0.2">
      <c r="C280" s="118" t="s">
        <v>139</v>
      </c>
      <c r="D280" s="132">
        <f t="shared" si="185"/>
        <v>0</v>
      </c>
      <c r="E280" s="223">
        <f t="shared" si="186"/>
        <v>0</v>
      </c>
      <c r="F280" s="223">
        <f t="shared" si="187"/>
        <v>0</v>
      </c>
      <c r="G280" s="223">
        <f t="shared" si="188"/>
        <v>0</v>
      </c>
      <c r="H280" s="223">
        <f t="shared" si="189"/>
        <v>0</v>
      </c>
      <c r="I280" s="223">
        <f t="shared" si="190"/>
        <v>0</v>
      </c>
      <c r="J280" s="223">
        <f t="shared" si="191"/>
        <v>0</v>
      </c>
      <c r="K280" s="121">
        <f t="array" ref="K280">IF(COUNTIF(L39:Q39,1)&gt;0,$W$80+MAX(IF(L39:Q39=1,$E$119:$J$119,-100000))+MAX(IF(L39:Q39=1,$E$122:$J$122,-100000)),0)</f>
        <v>0</v>
      </c>
      <c r="L280" s="121">
        <f t="shared" si="192"/>
        <v>0</v>
      </c>
      <c r="M280" s="121">
        <f t="shared" si="192"/>
        <v>0</v>
      </c>
      <c r="N280" s="121">
        <f t="shared" si="192"/>
        <v>0</v>
      </c>
      <c r="O280" s="121">
        <f t="shared" si="192"/>
        <v>0</v>
      </c>
      <c r="P280" s="121">
        <f t="shared" si="192"/>
        <v>0</v>
      </c>
      <c r="Q280" s="121">
        <f t="shared" si="192"/>
        <v>0</v>
      </c>
      <c r="R280" s="121"/>
      <c r="S280" s="153"/>
    </row>
    <row r="281" spans="1:34" ht="13.25" hidden="1" customHeight="1" x14ac:dyDescent="0.2">
      <c r="C281" s="118" t="s">
        <v>140</v>
      </c>
      <c r="D281" s="132">
        <f t="shared" si="185"/>
        <v>0</v>
      </c>
      <c r="E281" s="223">
        <f t="shared" si="186"/>
        <v>0</v>
      </c>
      <c r="F281" s="223">
        <f t="shared" si="187"/>
        <v>0</v>
      </c>
      <c r="G281" s="223">
        <f t="shared" si="188"/>
        <v>0</v>
      </c>
      <c r="H281" s="223">
        <f t="shared" si="189"/>
        <v>0</v>
      </c>
      <c r="I281" s="223">
        <f t="shared" si="190"/>
        <v>0</v>
      </c>
      <c r="J281" s="223">
        <f t="shared" si="191"/>
        <v>0</v>
      </c>
      <c r="K281" s="121">
        <f t="array" ref="K281">IF(COUNTIF(L40:Q40,1)&gt;0,$W$80+MAX(IF(L40:Q40=1,$E$119:$J$119,-100000))+MAX(IF(L40:Q40=1,$E$122:$J$122,-100000)),0)</f>
        <v>0</v>
      </c>
      <c r="L281" s="121">
        <f t="shared" si="192"/>
        <v>0</v>
      </c>
      <c r="M281" s="121">
        <f t="shared" si="192"/>
        <v>0</v>
      </c>
      <c r="N281" s="121">
        <f t="shared" si="192"/>
        <v>0</v>
      </c>
      <c r="O281" s="121">
        <f t="shared" si="192"/>
        <v>0</v>
      </c>
      <c r="P281" s="121">
        <f t="shared" si="192"/>
        <v>0</v>
      </c>
      <c r="Q281" s="121">
        <f t="shared" si="192"/>
        <v>0</v>
      </c>
      <c r="R281" s="121"/>
      <c r="S281" s="153"/>
    </row>
    <row r="282" spans="1:34" ht="13.25" hidden="1" customHeight="1" x14ac:dyDescent="0.2">
      <c r="C282" s="118" t="s">
        <v>141</v>
      </c>
      <c r="D282" s="132">
        <f t="shared" si="185"/>
        <v>0</v>
      </c>
      <c r="E282" s="223">
        <f t="shared" si="186"/>
        <v>0</v>
      </c>
      <c r="F282" s="223">
        <f t="shared" si="187"/>
        <v>0</v>
      </c>
      <c r="G282" s="223">
        <f t="shared" si="188"/>
        <v>0</v>
      </c>
      <c r="H282" s="223">
        <f t="shared" si="189"/>
        <v>0</v>
      </c>
      <c r="I282" s="223">
        <f t="shared" si="190"/>
        <v>0</v>
      </c>
      <c r="J282" s="223">
        <f t="shared" si="191"/>
        <v>0</v>
      </c>
      <c r="K282" s="121">
        <f t="array" ref="K282">IF(COUNTIF(L41:Q41,1)&gt;0,$W$80+MAX(IF(L41:Q41=1,$E$119:$J$119,-100000))+MAX(IF(L41:Q41=1,$E$122:$J$122,-100000)),0)</f>
        <v>0</v>
      </c>
      <c r="L282" s="121">
        <f t="shared" si="192"/>
        <v>0</v>
      </c>
      <c r="M282" s="121">
        <f t="shared" si="192"/>
        <v>0</v>
      </c>
      <c r="N282" s="121">
        <f t="shared" si="192"/>
        <v>0</v>
      </c>
      <c r="O282" s="121">
        <f t="shared" si="192"/>
        <v>0</v>
      </c>
      <c r="P282" s="121">
        <f t="shared" si="192"/>
        <v>0</v>
      </c>
      <c r="Q282" s="121">
        <f t="shared" si="192"/>
        <v>0</v>
      </c>
      <c r="R282" s="121"/>
      <c r="S282" s="153"/>
    </row>
    <row r="283" spans="1:34" ht="13.25" hidden="1" customHeight="1" x14ac:dyDescent="0.2">
      <c r="C283" s="118" t="s">
        <v>142</v>
      </c>
      <c r="D283" s="132">
        <f t="shared" si="185"/>
        <v>0</v>
      </c>
      <c r="E283" s="223">
        <f t="shared" si="186"/>
        <v>0</v>
      </c>
      <c r="F283" s="223">
        <f t="shared" si="187"/>
        <v>0</v>
      </c>
      <c r="G283" s="223">
        <f t="shared" si="188"/>
        <v>0</v>
      </c>
      <c r="H283" s="223">
        <f t="shared" si="189"/>
        <v>0</v>
      </c>
      <c r="I283" s="223">
        <f t="shared" si="190"/>
        <v>0</v>
      </c>
      <c r="J283" s="223">
        <f t="shared" si="191"/>
        <v>0</v>
      </c>
      <c r="K283" s="121">
        <f t="array" ref="K283">IF(COUNTIF(L42:Q42,1)&gt;0,$W$80+MAX(IF(L42:Q42=1,$E$119:$J$119,-100000))+MAX(IF(L42:Q42=1,$E$122:$J$122,-100000)),0)</f>
        <v>0</v>
      </c>
      <c r="L283" s="121">
        <f t="shared" si="192"/>
        <v>0</v>
      </c>
      <c r="M283" s="121">
        <f t="shared" si="192"/>
        <v>0</v>
      </c>
      <c r="N283" s="121">
        <f t="shared" si="192"/>
        <v>0</v>
      </c>
      <c r="O283" s="121">
        <f t="shared" si="192"/>
        <v>0</v>
      </c>
      <c r="P283" s="121">
        <f t="shared" si="192"/>
        <v>0</v>
      </c>
      <c r="Q283" s="121">
        <f t="shared" si="192"/>
        <v>0</v>
      </c>
      <c r="R283" s="121"/>
      <c r="S283" s="153"/>
    </row>
    <row r="284" spans="1:34" ht="13.25" hidden="1" customHeight="1" x14ac:dyDescent="0.2">
      <c r="C284" s="118" t="s">
        <v>143</v>
      </c>
      <c r="D284" s="132">
        <f t="shared" si="185"/>
        <v>0</v>
      </c>
      <c r="E284" s="223">
        <f t="shared" si="186"/>
        <v>0</v>
      </c>
      <c r="F284" s="223">
        <f t="shared" si="187"/>
        <v>0</v>
      </c>
      <c r="G284" s="223">
        <f t="shared" si="188"/>
        <v>0</v>
      </c>
      <c r="H284" s="223">
        <f t="shared" si="189"/>
        <v>0</v>
      </c>
      <c r="I284" s="223">
        <f t="shared" si="190"/>
        <v>0</v>
      </c>
      <c r="J284" s="223">
        <f t="shared" si="191"/>
        <v>0</v>
      </c>
      <c r="K284" s="121">
        <f t="array" ref="K284">IF(COUNTIF(L43:Q43,1)&gt;0,$W$80+MAX(IF(L43:Q43=1,$E$119:$J$119,-100000))+MAX(IF(L43:Q43=1,$E$122:$J$122,-100000)),0)</f>
        <v>0</v>
      </c>
      <c r="L284" s="121">
        <f t="shared" si="192"/>
        <v>0</v>
      </c>
      <c r="M284" s="121">
        <f t="shared" si="192"/>
        <v>0</v>
      </c>
      <c r="N284" s="121">
        <f t="shared" si="192"/>
        <v>0</v>
      </c>
      <c r="O284" s="121">
        <f t="shared" si="192"/>
        <v>0</v>
      </c>
      <c r="P284" s="121">
        <f t="shared" si="192"/>
        <v>0</v>
      </c>
      <c r="Q284" s="121">
        <f t="shared" si="192"/>
        <v>0</v>
      </c>
      <c r="R284" s="121"/>
      <c r="S284" s="153"/>
    </row>
    <row r="285" spans="1:34" ht="13.25" hidden="1" customHeight="1" x14ac:dyDescent="0.2">
      <c r="C285" s="118" t="s">
        <v>144</v>
      </c>
      <c r="D285" s="132">
        <f t="shared" si="185"/>
        <v>0</v>
      </c>
      <c r="E285" s="223">
        <f t="shared" si="186"/>
        <v>0</v>
      </c>
      <c r="F285" s="223">
        <f t="shared" si="187"/>
        <v>0</v>
      </c>
      <c r="G285" s="223">
        <f t="shared" si="188"/>
        <v>0</v>
      </c>
      <c r="H285" s="223">
        <f t="shared" si="189"/>
        <v>0</v>
      </c>
      <c r="I285" s="223">
        <f t="shared" si="190"/>
        <v>0</v>
      </c>
      <c r="J285" s="223">
        <f t="shared" si="191"/>
        <v>0</v>
      </c>
      <c r="K285" s="121">
        <f t="array" ref="K285">IF(COUNTIF(L44:Q44,1)&gt;0,$W$80+MAX(IF(L44:Q44=1,$E$119:$J$119,-100000))+MAX(IF(L44:Q44=1,$E$122:$J$122,-100000)),0)</f>
        <v>0</v>
      </c>
      <c r="L285" s="121">
        <f t="shared" si="192"/>
        <v>0</v>
      </c>
      <c r="M285" s="121">
        <f t="shared" si="192"/>
        <v>0</v>
      </c>
      <c r="N285" s="121">
        <f t="shared" si="192"/>
        <v>0</v>
      </c>
      <c r="O285" s="121">
        <f t="shared" si="192"/>
        <v>0</v>
      </c>
      <c r="P285" s="121">
        <f t="shared" si="192"/>
        <v>0</v>
      </c>
      <c r="Q285" s="121">
        <f t="shared" si="192"/>
        <v>0</v>
      </c>
      <c r="R285" s="121"/>
      <c r="S285" s="153"/>
    </row>
    <row r="286" spans="1:34" ht="13.25" hidden="1" customHeight="1" x14ac:dyDescent="0.2">
      <c r="C286" s="118" t="s">
        <v>145</v>
      </c>
      <c r="D286" s="132">
        <f t="shared" si="185"/>
        <v>0</v>
      </c>
      <c r="E286" s="223">
        <f t="shared" si="186"/>
        <v>0</v>
      </c>
      <c r="F286" s="223">
        <f t="shared" si="187"/>
        <v>0</v>
      </c>
      <c r="G286" s="223">
        <f t="shared" si="188"/>
        <v>0</v>
      </c>
      <c r="H286" s="223">
        <f t="shared" si="189"/>
        <v>0</v>
      </c>
      <c r="I286" s="223">
        <f t="shared" si="190"/>
        <v>0</v>
      </c>
      <c r="J286" s="223">
        <f t="shared" si="191"/>
        <v>0</v>
      </c>
      <c r="K286" s="121">
        <f t="array" ref="K286">IF(COUNTIF(L45:Q45,1)&gt;0,$W$80+MAX(IF(L45:Q45=1,$E$119:$J$119,-100000))+MAX(IF(L45:Q45=1,$E$122:$J$122,-100000)),0)</f>
        <v>0</v>
      </c>
      <c r="L286" s="121">
        <f t="shared" si="192"/>
        <v>0</v>
      </c>
      <c r="M286" s="121">
        <f t="shared" si="192"/>
        <v>0</v>
      </c>
      <c r="N286" s="121">
        <f t="shared" si="192"/>
        <v>0</v>
      </c>
      <c r="O286" s="121">
        <f t="shared" si="192"/>
        <v>0</v>
      </c>
      <c r="P286" s="121">
        <f t="shared" si="192"/>
        <v>0</v>
      </c>
      <c r="Q286" s="121">
        <f t="shared" si="192"/>
        <v>0</v>
      </c>
      <c r="R286" s="121"/>
      <c r="S286" s="153"/>
    </row>
    <row r="287" spans="1:34" s="241" customFormat="1" ht="13.25" hidden="1" customHeight="1" x14ac:dyDescent="0.2">
      <c r="A287" s="27"/>
      <c r="B287" s="32"/>
      <c r="C287" s="118" t="s">
        <v>146</v>
      </c>
      <c r="D287" s="132">
        <f t="shared" si="185"/>
        <v>0</v>
      </c>
      <c r="E287" s="223">
        <f t="shared" si="186"/>
        <v>0</v>
      </c>
      <c r="F287" s="223">
        <f t="shared" si="187"/>
        <v>0</v>
      </c>
      <c r="G287" s="223">
        <f t="shared" si="188"/>
        <v>0</v>
      </c>
      <c r="H287" s="223">
        <f t="shared" si="189"/>
        <v>0</v>
      </c>
      <c r="I287" s="223">
        <f t="shared" si="190"/>
        <v>0</v>
      </c>
      <c r="J287" s="223">
        <f t="shared" si="191"/>
        <v>0</v>
      </c>
      <c r="K287" s="121">
        <f t="array" ref="K287">IF(COUNTIF(L46:Q46,1)&gt;0,$W$80+MAX(IF(L46:Q46=1,$E$119:$J$119,-100000))+MAX(IF(L46:Q46=1,$E$122:$J$122,-100000)),0)</f>
        <v>0</v>
      </c>
      <c r="L287" s="121">
        <f t="shared" si="192"/>
        <v>0</v>
      </c>
      <c r="M287" s="121">
        <f t="shared" si="192"/>
        <v>0</v>
      </c>
      <c r="N287" s="121">
        <f t="shared" si="192"/>
        <v>0</v>
      </c>
      <c r="O287" s="121">
        <f t="shared" si="192"/>
        <v>0</v>
      </c>
      <c r="P287" s="121">
        <f t="shared" si="192"/>
        <v>0</v>
      </c>
      <c r="Q287" s="121">
        <f t="shared" si="192"/>
        <v>0</v>
      </c>
      <c r="R287" s="121"/>
      <c r="S287" s="153"/>
      <c r="T287" s="27"/>
      <c r="U287" s="27"/>
      <c r="V287" s="27"/>
      <c r="W287" s="27"/>
      <c r="X287" s="27"/>
      <c r="Y287" s="27"/>
      <c r="Z287" s="27"/>
      <c r="AA287" s="27"/>
      <c r="AB287" s="27"/>
      <c r="AC287" s="27"/>
      <c r="AD287" s="123"/>
      <c r="AE287" s="124"/>
      <c r="AF287" s="124"/>
      <c r="AG287" s="124"/>
      <c r="AH287" s="124"/>
    </row>
    <row r="288" spans="1:34" s="241" customFormat="1" ht="13.25" hidden="1" customHeight="1" x14ac:dyDescent="0.2">
      <c r="A288" s="27"/>
      <c r="B288" s="32"/>
      <c r="C288" s="311" t="s">
        <v>147</v>
      </c>
      <c r="D288" s="325">
        <f>ROUNDDOWN(SUM(D276:D287)/12,-2)</f>
        <v>0</v>
      </c>
      <c r="E288" s="326">
        <f t="shared" ref="E288:Q288" si="193">AVERAGE(E276:E287)</f>
        <v>0</v>
      </c>
      <c r="F288" s="326">
        <f t="shared" si="193"/>
        <v>0</v>
      </c>
      <c r="G288" s="326">
        <f t="shared" si="193"/>
        <v>0</v>
      </c>
      <c r="H288" s="326">
        <f t="shared" si="193"/>
        <v>0</v>
      </c>
      <c r="I288" s="326">
        <f t="shared" si="193"/>
        <v>0</v>
      </c>
      <c r="J288" s="326">
        <f t="shared" si="193"/>
        <v>0</v>
      </c>
      <c r="K288" s="207">
        <f t="shared" si="193"/>
        <v>0</v>
      </c>
      <c r="L288" s="207">
        <f t="shared" si="193"/>
        <v>0</v>
      </c>
      <c r="M288" s="207">
        <f t="shared" si="193"/>
        <v>0</v>
      </c>
      <c r="N288" s="207">
        <f t="shared" si="193"/>
        <v>0</v>
      </c>
      <c r="O288" s="207">
        <f t="shared" si="193"/>
        <v>0</v>
      </c>
      <c r="P288" s="207">
        <f t="shared" si="193"/>
        <v>0</v>
      </c>
      <c r="Q288" s="207">
        <f t="shared" si="193"/>
        <v>0</v>
      </c>
      <c r="R288" s="121"/>
      <c r="S288" s="153"/>
      <c r="T288" s="27"/>
      <c r="U288" s="27"/>
      <c r="V288" s="27"/>
      <c r="W288" s="27"/>
      <c r="X288" s="27"/>
      <c r="Y288" s="27"/>
      <c r="Z288" s="27"/>
      <c r="AA288" s="27"/>
      <c r="AB288" s="27"/>
      <c r="AC288" s="27"/>
      <c r="AD288" s="123"/>
      <c r="AE288" s="124"/>
    </row>
    <row r="289" spans="1:31" s="241" customFormat="1" ht="13.25" hidden="1" customHeight="1" x14ac:dyDescent="0.2">
      <c r="A289" s="27"/>
      <c r="B289" s="32"/>
      <c r="C289" s="118"/>
      <c r="D289" s="132"/>
      <c r="E289" s="223"/>
      <c r="F289" s="223"/>
      <c r="G289" s="223"/>
      <c r="H289" s="223"/>
      <c r="I289" s="223"/>
      <c r="J289" s="223"/>
      <c r="K289" s="120"/>
      <c r="L289" s="120"/>
      <c r="M289" s="121"/>
      <c r="N289" s="121"/>
      <c r="O289" s="120"/>
      <c r="P289" s="120"/>
      <c r="Q289" s="121"/>
      <c r="R289" s="121"/>
      <c r="S289" s="195"/>
      <c r="T289" s="27"/>
      <c r="U289" s="27"/>
      <c r="V289" s="27"/>
      <c r="W289" s="27"/>
      <c r="X289" s="27"/>
      <c r="Y289" s="27"/>
      <c r="Z289" s="27"/>
      <c r="AA289" s="27"/>
      <c r="AB289" s="27"/>
      <c r="AC289" s="27"/>
      <c r="AD289" s="123"/>
      <c r="AE289" s="124"/>
    </row>
    <row r="290" spans="1:31" s="241" customFormat="1" ht="13.25" hidden="1" customHeight="1" x14ac:dyDescent="0.2">
      <c r="A290" s="27"/>
      <c r="B290" s="32"/>
      <c r="C290" s="118" t="s">
        <v>135</v>
      </c>
      <c r="D290" s="132">
        <f t="shared" ref="D290:D301" si="194">D276</f>
        <v>0</v>
      </c>
      <c r="E290" s="223">
        <f t="shared" ref="E290:J301" si="195">IF(L49=1, MIN(E$138+L290-(L83*E$138),$W$82), 0)</f>
        <v>0</v>
      </c>
      <c r="F290" s="223">
        <f t="shared" si="195"/>
        <v>0</v>
      </c>
      <c r="G290" s="223">
        <f t="shared" si="195"/>
        <v>0</v>
      </c>
      <c r="H290" s="223">
        <f t="shared" si="195"/>
        <v>0</v>
      </c>
      <c r="I290" s="223">
        <f t="shared" si="195"/>
        <v>0</v>
      </c>
      <c r="J290" s="223">
        <f t="shared" si="195"/>
        <v>0</v>
      </c>
      <c r="K290" s="120"/>
      <c r="L290" s="120"/>
      <c r="M290" s="121"/>
      <c r="N290" s="121"/>
      <c r="O290" s="120"/>
      <c r="P290" s="120"/>
      <c r="Q290" s="121"/>
      <c r="R290" s="121"/>
      <c r="S290" s="195"/>
      <c r="T290" s="27"/>
      <c r="U290" s="27"/>
      <c r="V290" s="27"/>
      <c r="W290" s="27"/>
      <c r="X290" s="27"/>
      <c r="Y290" s="27"/>
      <c r="Z290" s="27"/>
      <c r="AA290" s="27"/>
      <c r="AB290" s="27"/>
      <c r="AC290" s="27"/>
      <c r="AD290" s="123"/>
    </row>
    <row r="291" spans="1:31" s="241" customFormat="1" ht="13.25" hidden="1" customHeight="1" x14ac:dyDescent="0.2">
      <c r="A291" s="27"/>
      <c r="B291" s="32"/>
      <c r="C291" s="118" t="s">
        <v>136</v>
      </c>
      <c r="D291" s="132">
        <f t="shared" si="194"/>
        <v>0</v>
      </c>
      <c r="E291" s="223">
        <f t="shared" si="195"/>
        <v>0</v>
      </c>
      <c r="F291" s="223">
        <f t="shared" si="195"/>
        <v>0</v>
      </c>
      <c r="G291" s="223">
        <f t="shared" si="195"/>
        <v>0</v>
      </c>
      <c r="H291" s="223">
        <f t="shared" si="195"/>
        <v>0</v>
      </c>
      <c r="I291" s="223">
        <f t="shared" si="195"/>
        <v>0</v>
      </c>
      <c r="J291" s="223">
        <f t="shared" si="195"/>
        <v>0</v>
      </c>
      <c r="K291" s="120"/>
      <c r="L291" s="120"/>
      <c r="M291" s="121"/>
      <c r="N291" s="121"/>
      <c r="O291" s="120"/>
      <c r="P291" s="120"/>
      <c r="Q291" s="121"/>
      <c r="R291" s="121"/>
      <c r="S291" s="195"/>
      <c r="T291" s="27"/>
      <c r="U291" s="27"/>
      <c r="V291" s="27"/>
      <c r="W291" s="27"/>
      <c r="X291" s="27"/>
      <c r="Y291" s="27"/>
      <c r="Z291" s="27"/>
      <c r="AA291" s="27"/>
      <c r="AB291" s="27"/>
      <c r="AC291" s="27"/>
      <c r="AD291" s="123"/>
    </row>
    <row r="292" spans="1:31" s="241" customFormat="1" ht="13.25" hidden="1" customHeight="1" x14ac:dyDescent="0.2">
      <c r="A292" s="27"/>
      <c r="B292" s="32"/>
      <c r="C292" s="118" t="s">
        <v>137</v>
      </c>
      <c r="D292" s="132">
        <f t="shared" si="194"/>
        <v>0</v>
      </c>
      <c r="E292" s="223">
        <f t="shared" si="195"/>
        <v>0</v>
      </c>
      <c r="F292" s="223">
        <f t="shared" si="195"/>
        <v>0</v>
      </c>
      <c r="G292" s="223">
        <f t="shared" si="195"/>
        <v>0</v>
      </c>
      <c r="H292" s="223">
        <f t="shared" si="195"/>
        <v>0</v>
      </c>
      <c r="I292" s="223">
        <f t="shared" si="195"/>
        <v>0</v>
      </c>
      <c r="J292" s="223">
        <f t="shared" si="195"/>
        <v>0</v>
      </c>
      <c r="K292" s="120"/>
      <c r="L292" s="120"/>
      <c r="M292" s="121"/>
      <c r="N292" s="121"/>
      <c r="O292" s="120"/>
      <c r="P292" s="120"/>
      <c r="Q292" s="121"/>
      <c r="R292" s="121"/>
      <c r="S292" s="195"/>
      <c r="T292" s="27"/>
      <c r="U292" s="27"/>
      <c r="V292" s="27"/>
      <c r="W292" s="27"/>
      <c r="X292" s="27"/>
      <c r="Y292" s="27"/>
      <c r="Z292" s="27"/>
      <c r="AA292" s="27"/>
      <c r="AB292" s="27"/>
      <c r="AC292" s="27"/>
      <c r="AD292" s="123"/>
    </row>
    <row r="293" spans="1:31" s="241" customFormat="1" ht="13.25" hidden="1" customHeight="1" x14ac:dyDescent="0.2">
      <c r="A293" s="27"/>
      <c r="B293" s="32"/>
      <c r="C293" s="118" t="s">
        <v>138</v>
      </c>
      <c r="D293" s="132">
        <f t="shared" si="194"/>
        <v>0</v>
      </c>
      <c r="E293" s="223">
        <f t="shared" si="195"/>
        <v>0</v>
      </c>
      <c r="F293" s="223">
        <f t="shared" si="195"/>
        <v>0</v>
      </c>
      <c r="G293" s="223">
        <f t="shared" si="195"/>
        <v>0</v>
      </c>
      <c r="H293" s="223">
        <f t="shared" si="195"/>
        <v>0</v>
      </c>
      <c r="I293" s="223">
        <f t="shared" si="195"/>
        <v>0</v>
      </c>
      <c r="J293" s="223">
        <f t="shared" si="195"/>
        <v>0</v>
      </c>
      <c r="K293" s="120"/>
      <c r="L293" s="120"/>
      <c r="M293" s="121"/>
      <c r="N293" s="121"/>
      <c r="O293" s="120"/>
      <c r="P293" s="120"/>
      <c r="Q293" s="121"/>
      <c r="R293" s="121"/>
      <c r="S293" s="195"/>
      <c r="T293" s="27"/>
      <c r="U293" s="27"/>
      <c r="V293" s="27"/>
      <c r="W293" s="27"/>
      <c r="X293" s="27"/>
      <c r="Y293" s="27"/>
      <c r="Z293" s="27"/>
      <c r="AA293" s="27"/>
      <c r="AB293" s="27"/>
      <c r="AC293" s="27"/>
      <c r="AD293" s="123"/>
    </row>
    <row r="294" spans="1:31" s="241" customFormat="1" ht="13.25" hidden="1" customHeight="1" x14ac:dyDescent="0.2">
      <c r="A294" s="27"/>
      <c r="B294" s="32"/>
      <c r="C294" s="118" t="s">
        <v>139</v>
      </c>
      <c r="D294" s="132">
        <f t="shared" si="194"/>
        <v>0</v>
      </c>
      <c r="E294" s="223">
        <f t="shared" si="195"/>
        <v>0</v>
      </c>
      <c r="F294" s="223">
        <f t="shared" si="195"/>
        <v>0</v>
      </c>
      <c r="G294" s="223">
        <f t="shared" si="195"/>
        <v>0</v>
      </c>
      <c r="H294" s="223">
        <f t="shared" si="195"/>
        <v>0</v>
      </c>
      <c r="I294" s="223">
        <f t="shared" si="195"/>
        <v>0</v>
      </c>
      <c r="J294" s="223">
        <f t="shared" si="195"/>
        <v>0</v>
      </c>
      <c r="K294" s="120"/>
      <c r="L294" s="120"/>
      <c r="M294" s="121"/>
      <c r="N294" s="121"/>
      <c r="O294" s="120"/>
      <c r="P294" s="120"/>
      <c r="Q294" s="121"/>
      <c r="R294" s="121"/>
      <c r="S294" s="195"/>
      <c r="T294" s="27"/>
      <c r="U294" s="27"/>
      <c r="V294" s="27"/>
      <c r="W294" s="27"/>
      <c r="X294" s="27"/>
      <c r="Y294" s="27"/>
      <c r="Z294" s="27"/>
      <c r="AA294" s="27"/>
      <c r="AB294" s="27"/>
      <c r="AC294" s="27"/>
      <c r="AD294" s="123"/>
    </row>
    <row r="295" spans="1:31" s="241" customFormat="1" ht="13.25" hidden="1" customHeight="1" x14ac:dyDescent="0.2">
      <c r="A295" s="27"/>
      <c r="B295" s="32"/>
      <c r="C295" s="118" t="s">
        <v>140</v>
      </c>
      <c r="D295" s="132">
        <f t="shared" si="194"/>
        <v>0</v>
      </c>
      <c r="E295" s="223">
        <f t="shared" si="195"/>
        <v>0</v>
      </c>
      <c r="F295" s="223">
        <f t="shared" si="195"/>
        <v>0</v>
      </c>
      <c r="G295" s="223">
        <f t="shared" si="195"/>
        <v>0</v>
      </c>
      <c r="H295" s="223">
        <f t="shared" si="195"/>
        <v>0</v>
      </c>
      <c r="I295" s="223">
        <f t="shared" si="195"/>
        <v>0</v>
      </c>
      <c r="J295" s="223">
        <f t="shared" si="195"/>
        <v>0</v>
      </c>
      <c r="K295" s="120"/>
      <c r="L295" s="120"/>
      <c r="M295" s="121"/>
      <c r="N295" s="121"/>
      <c r="O295" s="120"/>
      <c r="P295" s="120"/>
      <c r="Q295" s="121"/>
      <c r="R295" s="121"/>
      <c r="S295" s="195"/>
      <c r="T295" s="27"/>
      <c r="U295" s="27"/>
      <c r="V295" s="27"/>
      <c r="W295" s="27"/>
      <c r="X295" s="27"/>
      <c r="Y295" s="27"/>
      <c r="Z295" s="27"/>
      <c r="AA295" s="27"/>
      <c r="AB295" s="27"/>
      <c r="AC295" s="27"/>
      <c r="AD295" s="123"/>
    </row>
    <row r="296" spans="1:31" s="241" customFormat="1" ht="13.25" hidden="1" customHeight="1" x14ac:dyDescent="0.2">
      <c r="A296" s="132"/>
      <c r="B296" s="32"/>
      <c r="C296" s="118" t="s">
        <v>141</v>
      </c>
      <c r="D296" s="132">
        <f t="shared" si="194"/>
        <v>0</v>
      </c>
      <c r="E296" s="223">
        <f t="shared" si="195"/>
        <v>0</v>
      </c>
      <c r="F296" s="223">
        <f t="shared" si="195"/>
        <v>0</v>
      </c>
      <c r="G296" s="223">
        <f t="shared" si="195"/>
        <v>0</v>
      </c>
      <c r="H296" s="223">
        <f t="shared" si="195"/>
        <v>0</v>
      </c>
      <c r="I296" s="223">
        <f t="shared" si="195"/>
        <v>0</v>
      </c>
      <c r="J296" s="223">
        <f t="shared" si="195"/>
        <v>0</v>
      </c>
      <c r="K296" s="120"/>
      <c r="L296" s="120"/>
      <c r="M296" s="121"/>
      <c r="N296" s="121"/>
      <c r="O296" s="120"/>
      <c r="P296" s="120"/>
      <c r="Q296" s="121"/>
      <c r="R296" s="121"/>
      <c r="S296" s="195"/>
      <c r="T296" s="27"/>
      <c r="U296" s="27"/>
      <c r="V296" s="27"/>
      <c r="W296" s="27"/>
      <c r="X296" s="27"/>
      <c r="Y296" s="27"/>
      <c r="Z296" s="27"/>
      <c r="AA296" s="27"/>
      <c r="AB296" s="27"/>
      <c r="AC296" s="27"/>
      <c r="AD296" s="123"/>
    </row>
    <row r="297" spans="1:31" s="241" customFormat="1" ht="13.25" hidden="1" customHeight="1" x14ac:dyDescent="0.2">
      <c r="A297" s="132"/>
      <c r="B297" s="32"/>
      <c r="C297" s="118" t="s">
        <v>142</v>
      </c>
      <c r="D297" s="132">
        <f t="shared" si="194"/>
        <v>0</v>
      </c>
      <c r="E297" s="223">
        <f t="shared" si="195"/>
        <v>0</v>
      </c>
      <c r="F297" s="223">
        <f t="shared" si="195"/>
        <v>0</v>
      </c>
      <c r="G297" s="223">
        <f t="shared" si="195"/>
        <v>0</v>
      </c>
      <c r="H297" s="223">
        <f t="shared" si="195"/>
        <v>0</v>
      </c>
      <c r="I297" s="223">
        <f t="shared" si="195"/>
        <v>0</v>
      </c>
      <c r="J297" s="223">
        <f t="shared" si="195"/>
        <v>0</v>
      </c>
      <c r="K297" s="120"/>
      <c r="L297" s="120"/>
      <c r="M297" s="121"/>
      <c r="N297" s="121"/>
      <c r="O297" s="120"/>
      <c r="P297" s="120"/>
      <c r="Q297" s="121"/>
      <c r="R297" s="121"/>
      <c r="S297" s="195"/>
      <c r="T297" s="27"/>
      <c r="U297" s="27"/>
      <c r="V297" s="27"/>
      <c r="W297" s="27"/>
      <c r="X297" s="27"/>
      <c r="Y297" s="27"/>
      <c r="Z297" s="27"/>
      <c r="AA297" s="27"/>
      <c r="AB297" s="27"/>
      <c r="AC297" s="27"/>
      <c r="AD297" s="123"/>
    </row>
    <row r="298" spans="1:31" s="241" customFormat="1" ht="13.25" hidden="1" customHeight="1" x14ac:dyDescent="0.2">
      <c r="A298" s="132"/>
      <c r="B298" s="32"/>
      <c r="C298" s="118" t="s">
        <v>143</v>
      </c>
      <c r="D298" s="132">
        <f t="shared" si="194"/>
        <v>0</v>
      </c>
      <c r="E298" s="223">
        <f t="shared" si="195"/>
        <v>0</v>
      </c>
      <c r="F298" s="223">
        <f t="shared" si="195"/>
        <v>0</v>
      </c>
      <c r="G298" s="223">
        <f t="shared" si="195"/>
        <v>0</v>
      </c>
      <c r="H298" s="223">
        <f t="shared" si="195"/>
        <v>0</v>
      </c>
      <c r="I298" s="223">
        <f t="shared" si="195"/>
        <v>0</v>
      </c>
      <c r="J298" s="223">
        <f t="shared" si="195"/>
        <v>0</v>
      </c>
      <c r="K298" s="120"/>
      <c r="L298" s="120"/>
      <c r="M298" s="121"/>
      <c r="N298" s="121"/>
      <c r="O298" s="120"/>
      <c r="P298" s="120"/>
      <c r="Q298" s="121"/>
      <c r="R298" s="121"/>
      <c r="S298" s="195"/>
      <c r="T298" s="27"/>
      <c r="U298" s="27"/>
      <c r="V298" s="27"/>
      <c r="W298" s="27"/>
      <c r="X298" s="27"/>
      <c r="Y298" s="27"/>
      <c r="Z298" s="27"/>
      <c r="AA298" s="27"/>
      <c r="AB298" s="27"/>
      <c r="AC298" s="27"/>
      <c r="AD298" s="123"/>
    </row>
    <row r="299" spans="1:31" s="241" customFormat="1" ht="13.25" hidden="1" customHeight="1" x14ac:dyDescent="0.2">
      <c r="A299" s="132"/>
      <c r="B299" s="32"/>
      <c r="C299" s="118" t="s">
        <v>144</v>
      </c>
      <c r="D299" s="132">
        <f t="shared" si="194"/>
        <v>0</v>
      </c>
      <c r="E299" s="223">
        <f t="shared" si="195"/>
        <v>0</v>
      </c>
      <c r="F299" s="223">
        <f t="shared" si="195"/>
        <v>0</v>
      </c>
      <c r="G299" s="223">
        <f t="shared" si="195"/>
        <v>0</v>
      </c>
      <c r="H299" s="223">
        <f t="shared" si="195"/>
        <v>0</v>
      </c>
      <c r="I299" s="223">
        <f t="shared" si="195"/>
        <v>0</v>
      </c>
      <c r="J299" s="223">
        <f t="shared" si="195"/>
        <v>0</v>
      </c>
      <c r="K299" s="120"/>
      <c r="L299" s="120"/>
      <c r="M299" s="121"/>
      <c r="N299" s="121"/>
      <c r="O299" s="120"/>
      <c r="P299" s="120"/>
      <c r="Q299" s="121"/>
      <c r="R299" s="121"/>
      <c r="S299" s="195"/>
      <c r="T299" s="27"/>
      <c r="U299" s="27"/>
      <c r="V299" s="27"/>
      <c r="W299" s="27"/>
      <c r="X299" s="27"/>
      <c r="Y299" s="27"/>
      <c r="Z299" s="27"/>
      <c r="AA299" s="27"/>
      <c r="AB299" s="27"/>
      <c r="AC299" s="27"/>
      <c r="AD299" s="123"/>
    </row>
    <row r="300" spans="1:31" s="241" customFormat="1" ht="13.25" hidden="1" customHeight="1" x14ac:dyDescent="0.2">
      <c r="A300" s="132"/>
      <c r="B300" s="32"/>
      <c r="C300" s="118" t="s">
        <v>145</v>
      </c>
      <c r="D300" s="132">
        <f t="shared" si="194"/>
        <v>0</v>
      </c>
      <c r="E300" s="223">
        <f t="shared" si="195"/>
        <v>0</v>
      </c>
      <c r="F300" s="223">
        <f t="shared" si="195"/>
        <v>0</v>
      </c>
      <c r="G300" s="223">
        <f t="shared" si="195"/>
        <v>0</v>
      </c>
      <c r="H300" s="223">
        <f t="shared" si="195"/>
        <v>0</v>
      </c>
      <c r="I300" s="223">
        <f t="shared" si="195"/>
        <v>0</v>
      </c>
      <c r="J300" s="223">
        <f t="shared" si="195"/>
        <v>0</v>
      </c>
      <c r="K300" s="120"/>
      <c r="L300" s="120"/>
      <c r="M300" s="121"/>
      <c r="N300" s="121"/>
      <c r="O300" s="120"/>
      <c r="P300" s="120"/>
      <c r="Q300" s="121"/>
      <c r="R300" s="121"/>
      <c r="S300" s="153"/>
      <c r="T300" s="27"/>
      <c r="U300" s="27"/>
      <c r="V300" s="27"/>
      <c r="W300" s="27"/>
      <c r="X300" s="27"/>
      <c r="Y300" s="27"/>
      <c r="Z300" s="27"/>
      <c r="AA300" s="27"/>
      <c r="AB300" s="27"/>
      <c r="AC300" s="27"/>
      <c r="AD300" s="123"/>
    </row>
    <row r="301" spans="1:31" s="241" customFormat="1" ht="13.25" hidden="1" customHeight="1" x14ac:dyDescent="0.2">
      <c r="A301" s="132"/>
      <c r="B301" s="32"/>
      <c r="C301" s="118" t="s">
        <v>146</v>
      </c>
      <c r="D301" s="132">
        <f t="shared" si="194"/>
        <v>0</v>
      </c>
      <c r="E301" s="223">
        <f t="shared" si="195"/>
        <v>0</v>
      </c>
      <c r="F301" s="223">
        <f t="shared" si="195"/>
        <v>0</v>
      </c>
      <c r="G301" s="223">
        <f t="shared" si="195"/>
        <v>0</v>
      </c>
      <c r="H301" s="223">
        <f t="shared" si="195"/>
        <v>0</v>
      </c>
      <c r="I301" s="223">
        <f t="shared" si="195"/>
        <v>0</v>
      </c>
      <c r="J301" s="223">
        <f t="shared" si="195"/>
        <v>0</v>
      </c>
      <c r="K301" s="120"/>
      <c r="L301" s="120"/>
      <c r="M301" s="121"/>
      <c r="N301" s="121"/>
      <c r="O301" s="120"/>
      <c r="P301" s="120"/>
      <c r="Q301" s="121"/>
      <c r="R301" s="121"/>
      <c r="S301" s="153"/>
      <c r="T301" s="27"/>
      <c r="U301" s="27"/>
      <c r="V301" s="27"/>
      <c r="W301" s="27"/>
      <c r="X301" s="27"/>
      <c r="Y301" s="27"/>
      <c r="Z301" s="27"/>
      <c r="AA301" s="27"/>
      <c r="AB301" s="27"/>
      <c r="AC301" s="27"/>
      <c r="AD301" s="123"/>
    </row>
    <row r="302" spans="1:31" s="241" customFormat="1" ht="13.25" hidden="1" customHeight="1" x14ac:dyDescent="0.2">
      <c r="A302" s="132"/>
      <c r="B302" s="32"/>
      <c r="C302" s="311" t="s">
        <v>613</v>
      </c>
      <c r="D302" s="132"/>
      <c r="E302" s="333">
        <f t="shared" ref="E302:J302" si="196">AVERAGE(E290:E301)</f>
        <v>0</v>
      </c>
      <c r="F302" s="333">
        <f t="shared" si="196"/>
        <v>0</v>
      </c>
      <c r="G302" s="333">
        <f t="shared" si="196"/>
        <v>0</v>
      </c>
      <c r="H302" s="333">
        <f t="shared" si="196"/>
        <v>0</v>
      </c>
      <c r="I302" s="333">
        <f t="shared" si="196"/>
        <v>0</v>
      </c>
      <c r="J302" s="333">
        <f t="shared" si="196"/>
        <v>0</v>
      </c>
      <c r="K302" s="120"/>
      <c r="L302" s="120"/>
      <c r="M302" s="121"/>
      <c r="N302" s="121"/>
      <c r="O302" s="120"/>
      <c r="P302" s="120"/>
      <c r="Q302" s="121"/>
      <c r="R302" s="121"/>
      <c r="S302" s="153"/>
      <c r="T302" s="27"/>
      <c r="U302" s="27"/>
      <c r="V302" s="27"/>
      <c r="W302" s="27"/>
      <c r="X302" s="27"/>
      <c r="Y302" s="27"/>
      <c r="Z302" s="27"/>
      <c r="AA302" s="27"/>
      <c r="AB302" s="27"/>
      <c r="AC302" s="27"/>
      <c r="AD302" s="123"/>
    </row>
    <row r="303" spans="1:31" s="241" customFormat="1" ht="12.75" customHeight="1" x14ac:dyDescent="0.2">
      <c r="A303" s="132"/>
      <c r="B303" s="32"/>
      <c r="C303" s="27"/>
      <c r="D303" s="27"/>
      <c r="E303" s="119"/>
      <c r="F303" s="119"/>
      <c r="G303" s="119"/>
      <c r="H303" s="119"/>
      <c r="I303" s="119"/>
      <c r="J303" s="119"/>
      <c r="K303" s="123"/>
      <c r="L303" s="123"/>
      <c r="M303" s="132"/>
      <c r="N303" s="132"/>
      <c r="O303" s="27"/>
      <c r="P303" s="27"/>
      <c r="Q303" s="132"/>
      <c r="R303" s="132"/>
      <c r="S303" s="124"/>
      <c r="T303" s="27"/>
      <c r="U303" s="27"/>
      <c r="V303" s="27"/>
      <c r="W303" s="27"/>
      <c r="X303" s="27"/>
      <c r="Y303" s="27"/>
      <c r="Z303" s="27"/>
      <c r="AA303" s="27"/>
      <c r="AB303" s="27"/>
      <c r="AC303" s="27"/>
      <c r="AD303" s="123"/>
    </row>
    <row r="304" spans="1:31" s="241" customFormat="1" ht="12.75" customHeight="1" x14ac:dyDescent="0.2">
      <c r="A304" s="132"/>
      <c r="B304" s="32"/>
      <c r="C304" s="27"/>
      <c r="D304" s="27"/>
      <c r="E304" s="119"/>
      <c r="F304" s="119"/>
      <c r="G304" s="119"/>
      <c r="H304" s="119"/>
      <c r="I304" s="119"/>
      <c r="J304" s="119"/>
      <c r="K304" s="123"/>
      <c r="L304" s="123"/>
      <c r="M304" s="132"/>
      <c r="N304" s="132"/>
      <c r="O304" s="27"/>
      <c r="P304" s="27"/>
      <c r="Q304" s="132"/>
      <c r="R304" s="132"/>
      <c r="S304" s="124"/>
      <c r="T304" s="27"/>
      <c r="U304" s="27"/>
      <c r="V304" s="27"/>
      <c r="W304" s="27"/>
      <c r="X304" s="27"/>
      <c r="Y304" s="27"/>
      <c r="Z304" s="27"/>
      <c r="AA304" s="27"/>
      <c r="AB304" s="27"/>
      <c r="AC304" s="27"/>
      <c r="AD304" s="123"/>
    </row>
    <row r="305" spans="1:30" s="241" customFormat="1" ht="12.75" customHeight="1" x14ac:dyDescent="0.2">
      <c r="A305" s="132"/>
      <c r="B305" s="32"/>
      <c r="C305" s="27"/>
      <c r="D305" s="27"/>
      <c r="E305" s="119"/>
      <c r="F305" s="119"/>
      <c r="G305" s="119"/>
      <c r="H305" s="119"/>
      <c r="I305" s="119"/>
      <c r="J305" s="119"/>
      <c r="K305" s="123"/>
      <c r="L305" s="123"/>
      <c r="M305" s="132"/>
      <c r="N305" s="132"/>
      <c r="O305" s="27"/>
      <c r="P305" s="27"/>
      <c r="Q305" s="132"/>
      <c r="R305" s="132"/>
      <c r="S305" s="124"/>
      <c r="T305" s="27"/>
      <c r="U305" s="27"/>
      <c r="V305" s="27"/>
      <c r="W305" s="27"/>
      <c r="X305" s="27"/>
      <c r="Y305" s="27"/>
      <c r="Z305" s="27"/>
      <c r="AA305" s="27"/>
      <c r="AB305" s="27"/>
      <c r="AC305" s="27"/>
      <c r="AD305" s="123"/>
    </row>
    <row r="306" spans="1:30" s="241" customFormat="1" ht="12.75" customHeight="1" x14ac:dyDescent="0.2">
      <c r="A306" s="132"/>
      <c r="B306" s="32"/>
      <c r="C306" s="27"/>
      <c r="D306" s="27"/>
      <c r="E306" s="119"/>
      <c r="F306" s="119"/>
      <c r="G306" s="119"/>
      <c r="H306" s="119"/>
      <c r="I306" s="119"/>
      <c r="J306" s="119"/>
      <c r="K306" s="123"/>
      <c r="L306" s="123"/>
      <c r="M306" s="132"/>
      <c r="N306" s="132"/>
      <c r="O306" s="27"/>
      <c r="P306" s="27"/>
      <c r="Q306" s="132"/>
      <c r="R306" s="132"/>
      <c r="S306" s="124"/>
      <c r="T306" s="27"/>
      <c r="U306" s="27"/>
      <c r="V306" s="27"/>
      <c r="W306" s="27"/>
      <c r="X306" s="27"/>
      <c r="Y306" s="27"/>
      <c r="Z306" s="27"/>
      <c r="AA306" s="27"/>
      <c r="AB306" s="27"/>
      <c r="AC306" s="27"/>
      <c r="AD306" s="123"/>
    </row>
    <row r="307" spans="1:30" s="241" customFormat="1" ht="12.75" customHeight="1" x14ac:dyDescent="0.2">
      <c r="A307" s="132"/>
      <c r="B307" s="32"/>
      <c r="C307" s="27"/>
      <c r="D307" s="27"/>
      <c r="E307" s="119"/>
      <c r="F307" s="119"/>
      <c r="G307" s="119"/>
      <c r="H307" s="119"/>
      <c r="I307" s="119"/>
      <c r="J307" s="119"/>
      <c r="K307" s="123"/>
      <c r="L307" s="123"/>
      <c r="M307" s="132"/>
      <c r="N307" s="132"/>
      <c r="O307" s="27"/>
      <c r="P307" s="27"/>
      <c r="Q307" s="132"/>
      <c r="R307" s="132"/>
      <c r="S307" s="124"/>
      <c r="T307" s="27"/>
      <c r="U307" s="27"/>
      <c r="V307" s="27"/>
      <c r="W307" s="27"/>
      <c r="X307" s="27"/>
      <c r="Y307" s="27"/>
      <c r="Z307" s="27"/>
      <c r="AA307" s="27"/>
      <c r="AB307" s="27"/>
      <c r="AC307" s="27"/>
      <c r="AD307" s="123"/>
    </row>
    <row r="308" spans="1:30" s="241" customFormat="1" ht="12.75" customHeight="1" x14ac:dyDescent="0.2">
      <c r="A308" s="132"/>
      <c r="B308" s="32"/>
      <c r="C308" s="27"/>
      <c r="D308" s="27"/>
      <c r="E308" s="119"/>
      <c r="F308" s="119"/>
      <c r="G308" s="119"/>
      <c r="H308" s="119"/>
      <c r="I308" s="119"/>
      <c r="J308" s="119"/>
      <c r="K308" s="123"/>
      <c r="L308" s="123"/>
      <c r="M308" s="132"/>
      <c r="N308" s="132"/>
      <c r="O308" s="27"/>
      <c r="P308" s="27"/>
      <c r="Q308" s="132"/>
      <c r="R308" s="132"/>
      <c r="S308" s="124"/>
      <c r="T308" s="27"/>
      <c r="U308" s="27"/>
      <c r="V308" s="27"/>
      <c r="W308" s="27"/>
      <c r="X308" s="27"/>
      <c r="Y308" s="27"/>
      <c r="Z308" s="27"/>
      <c r="AA308" s="27"/>
      <c r="AB308" s="27"/>
      <c r="AC308" s="27"/>
      <c r="AD308" s="123"/>
    </row>
    <row r="309" spans="1:30" s="241" customFormat="1" ht="12.75" customHeight="1" x14ac:dyDescent="0.2">
      <c r="A309" s="132"/>
      <c r="B309" s="32"/>
      <c r="C309" s="27"/>
      <c r="D309" s="27"/>
      <c r="E309" s="119"/>
      <c r="F309" s="119"/>
      <c r="G309" s="119"/>
      <c r="H309" s="119"/>
      <c r="I309" s="119"/>
      <c r="J309" s="119"/>
      <c r="K309" s="123"/>
      <c r="L309" s="123"/>
      <c r="M309" s="132"/>
      <c r="N309" s="132"/>
      <c r="O309" s="27"/>
      <c r="P309" s="27"/>
      <c r="Q309" s="132"/>
      <c r="R309" s="132"/>
      <c r="S309" s="124"/>
      <c r="T309" s="27"/>
      <c r="U309" s="27"/>
      <c r="V309" s="27"/>
      <c r="W309" s="27"/>
      <c r="X309" s="27"/>
      <c r="Y309" s="27"/>
      <c r="Z309" s="27"/>
      <c r="AA309" s="27"/>
      <c r="AB309" s="27"/>
      <c r="AC309" s="27"/>
      <c r="AD309" s="123"/>
    </row>
    <row r="310" spans="1:30" s="241" customFormat="1" ht="12.75" customHeight="1" x14ac:dyDescent="0.2">
      <c r="A310" s="132"/>
      <c r="B310" s="32"/>
      <c r="C310" s="27"/>
      <c r="D310" s="27"/>
      <c r="E310" s="119"/>
      <c r="F310" s="119"/>
      <c r="G310" s="119"/>
      <c r="H310" s="119"/>
      <c r="I310" s="119"/>
      <c r="J310" s="119"/>
      <c r="K310" s="123"/>
      <c r="L310" s="123"/>
      <c r="M310" s="132"/>
      <c r="N310" s="132"/>
      <c r="O310" s="27"/>
      <c r="P310" s="27"/>
      <c r="Q310" s="132"/>
      <c r="R310" s="132"/>
      <c r="S310" s="124"/>
      <c r="T310" s="27"/>
      <c r="U310" s="27"/>
      <c r="V310" s="27"/>
      <c r="W310" s="27"/>
      <c r="X310" s="27"/>
      <c r="Y310" s="27"/>
      <c r="Z310" s="27"/>
      <c r="AA310" s="27"/>
      <c r="AB310" s="27"/>
      <c r="AC310" s="27"/>
      <c r="AD310" s="123"/>
    </row>
    <row r="311" spans="1:30" s="241" customFormat="1" ht="12.75" customHeight="1" x14ac:dyDescent="0.2">
      <c r="A311" s="132"/>
      <c r="B311" s="32"/>
      <c r="C311" s="27"/>
      <c r="D311" s="27"/>
      <c r="E311" s="119"/>
      <c r="F311" s="119"/>
      <c r="G311" s="119"/>
      <c r="H311" s="119"/>
      <c r="I311" s="119"/>
      <c r="J311" s="119"/>
      <c r="K311" s="123"/>
      <c r="L311" s="123"/>
      <c r="M311" s="132"/>
      <c r="N311" s="132"/>
      <c r="O311" s="27"/>
      <c r="P311" s="27"/>
      <c r="Q311" s="132"/>
      <c r="R311" s="132"/>
      <c r="S311" s="124"/>
      <c r="T311" s="27"/>
      <c r="U311" s="27"/>
      <c r="V311" s="27"/>
      <c r="W311" s="27"/>
      <c r="X311" s="27"/>
      <c r="Y311" s="27"/>
      <c r="Z311" s="27"/>
      <c r="AA311" s="27"/>
      <c r="AB311" s="27"/>
      <c r="AC311" s="27"/>
      <c r="AD311" s="123"/>
    </row>
    <row r="312" spans="1:30" s="241" customFormat="1" ht="12.75" customHeight="1" x14ac:dyDescent="0.2">
      <c r="A312" s="132"/>
      <c r="B312" s="32"/>
      <c r="C312" s="27"/>
      <c r="D312" s="27"/>
      <c r="E312" s="119"/>
      <c r="F312" s="119"/>
      <c r="G312" s="119"/>
      <c r="H312" s="119"/>
      <c r="I312" s="119"/>
      <c r="J312" s="119"/>
      <c r="K312" s="123"/>
      <c r="L312" s="123"/>
      <c r="M312" s="132"/>
      <c r="N312" s="132"/>
      <c r="O312" s="27"/>
      <c r="P312" s="27"/>
      <c r="Q312" s="132"/>
      <c r="R312" s="132"/>
      <c r="S312" s="124"/>
      <c r="T312" s="27"/>
      <c r="U312" s="27"/>
      <c r="V312" s="27"/>
      <c r="W312" s="27"/>
      <c r="X312" s="27"/>
      <c r="Y312" s="27"/>
      <c r="Z312" s="27"/>
      <c r="AA312" s="27"/>
      <c r="AB312" s="27"/>
      <c r="AC312" s="27"/>
      <c r="AD312" s="123"/>
    </row>
    <row r="313" spans="1:30" s="241" customFormat="1" ht="12.75" customHeight="1" x14ac:dyDescent="0.2">
      <c r="A313" s="132"/>
      <c r="B313" s="32"/>
      <c r="C313" s="27"/>
      <c r="D313" s="27"/>
      <c r="E313" s="119"/>
      <c r="F313" s="119"/>
      <c r="G313" s="119"/>
      <c r="H313" s="119"/>
      <c r="I313" s="119"/>
      <c r="J313" s="119"/>
      <c r="K313" s="123"/>
      <c r="L313" s="123"/>
      <c r="M313" s="132"/>
      <c r="N313" s="132"/>
      <c r="O313" s="27"/>
      <c r="P313" s="27"/>
      <c r="Q313" s="132"/>
      <c r="R313" s="132"/>
      <c r="S313" s="124"/>
      <c r="T313" s="27"/>
      <c r="U313" s="27"/>
      <c r="V313" s="27"/>
      <c r="W313" s="27"/>
      <c r="X313" s="27"/>
      <c r="Y313" s="27"/>
      <c r="Z313" s="27"/>
      <c r="AA313" s="27"/>
      <c r="AB313" s="27"/>
      <c r="AC313" s="27"/>
      <c r="AD313" s="123"/>
    </row>
    <row r="314" spans="1:30" s="241" customFormat="1" ht="12.75" customHeight="1" x14ac:dyDescent="0.2">
      <c r="A314" s="132"/>
      <c r="B314" s="32"/>
      <c r="C314" s="27"/>
      <c r="D314" s="27"/>
      <c r="E314" s="119"/>
      <c r="F314" s="119"/>
      <c r="G314" s="119"/>
      <c r="H314" s="119"/>
      <c r="I314" s="119"/>
      <c r="J314" s="119"/>
      <c r="K314" s="123"/>
      <c r="L314" s="123"/>
      <c r="M314" s="132"/>
      <c r="N314" s="132"/>
      <c r="O314" s="27"/>
      <c r="P314" s="27"/>
      <c r="Q314" s="132"/>
      <c r="R314" s="132"/>
      <c r="S314" s="124"/>
      <c r="T314" s="27"/>
      <c r="U314" s="27"/>
      <c r="V314" s="27"/>
      <c r="W314" s="27"/>
      <c r="X314" s="27"/>
      <c r="Y314" s="27"/>
      <c r="Z314" s="27"/>
      <c r="AA314" s="27"/>
      <c r="AB314" s="27"/>
      <c r="AC314" s="27"/>
      <c r="AD314" s="123"/>
    </row>
    <row r="315" spans="1:30" s="241" customFormat="1" ht="12.75" customHeight="1" x14ac:dyDescent="0.2">
      <c r="A315" s="132"/>
      <c r="B315" s="32"/>
      <c r="C315" s="27"/>
      <c r="D315" s="27"/>
      <c r="E315" s="119"/>
      <c r="F315" s="119"/>
      <c r="G315" s="119"/>
      <c r="H315" s="119"/>
      <c r="I315" s="119"/>
      <c r="J315" s="119"/>
      <c r="K315" s="123"/>
      <c r="L315" s="123"/>
      <c r="M315" s="132"/>
      <c r="N315" s="132"/>
      <c r="O315" s="27"/>
      <c r="P315" s="27"/>
      <c r="Q315" s="132"/>
      <c r="R315" s="132"/>
      <c r="S315" s="124"/>
      <c r="T315" s="27"/>
      <c r="U315" s="27"/>
      <c r="V315" s="27"/>
      <c r="W315" s="27"/>
      <c r="X315" s="27"/>
      <c r="Y315" s="27"/>
      <c r="Z315" s="27"/>
      <c r="AA315" s="27"/>
      <c r="AB315" s="27"/>
      <c r="AC315" s="27"/>
      <c r="AD315" s="123"/>
    </row>
    <row r="316" spans="1:30" s="241" customFormat="1" ht="12.75" customHeight="1" x14ac:dyDescent="0.2">
      <c r="A316" s="132"/>
      <c r="B316" s="32"/>
      <c r="C316" s="27"/>
      <c r="D316" s="27"/>
      <c r="E316" s="119"/>
      <c r="F316" s="119"/>
      <c r="G316" s="119"/>
      <c r="H316" s="119"/>
      <c r="I316" s="119"/>
      <c r="J316" s="119"/>
      <c r="K316" s="123"/>
      <c r="L316" s="123"/>
      <c r="M316" s="132"/>
      <c r="N316" s="132"/>
      <c r="O316" s="27"/>
      <c r="P316" s="27"/>
      <c r="Q316" s="132"/>
      <c r="R316" s="132"/>
      <c r="S316" s="124"/>
      <c r="T316" s="27"/>
      <c r="U316" s="27"/>
      <c r="V316" s="27"/>
      <c r="W316" s="27"/>
      <c r="X316" s="27"/>
      <c r="Y316" s="27"/>
      <c r="Z316" s="27"/>
      <c r="AA316" s="27"/>
      <c r="AB316" s="27"/>
      <c r="AC316" s="27"/>
      <c r="AD316" s="123"/>
    </row>
    <row r="317" spans="1:30" s="241" customFormat="1" ht="12.75" customHeight="1" x14ac:dyDescent="0.2">
      <c r="A317" s="132"/>
      <c r="B317" s="32"/>
      <c r="C317" s="27"/>
      <c r="D317" s="27"/>
      <c r="E317" s="119"/>
      <c r="F317" s="119"/>
      <c r="G317" s="119"/>
      <c r="H317" s="119"/>
      <c r="I317" s="119"/>
      <c r="J317" s="119"/>
      <c r="K317" s="123"/>
      <c r="L317" s="123"/>
      <c r="M317" s="132"/>
      <c r="N317" s="132"/>
      <c r="O317" s="27"/>
      <c r="P317" s="27"/>
      <c r="Q317" s="132"/>
      <c r="R317" s="132"/>
      <c r="S317" s="124"/>
      <c r="T317" s="27"/>
      <c r="U317" s="27"/>
      <c r="V317" s="27"/>
      <c r="W317" s="27"/>
      <c r="X317" s="27"/>
      <c r="Y317" s="27"/>
      <c r="Z317" s="27"/>
      <c r="AA317" s="27"/>
      <c r="AB317" s="27"/>
      <c r="AC317" s="27"/>
      <c r="AD317" s="123"/>
    </row>
    <row r="318" spans="1:30" s="241" customFormat="1" ht="12.75" customHeight="1" x14ac:dyDescent="0.2">
      <c r="A318" s="132"/>
      <c r="B318" s="32"/>
      <c r="C318" s="27"/>
      <c r="D318" s="27"/>
      <c r="E318" s="119"/>
      <c r="F318" s="119"/>
      <c r="G318" s="119"/>
      <c r="H318" s="119"/>
      <c r="I318" s="119"/>
      <c r="J318" s="119"/>
      <c r="K318" s="123"/>
      <c r="L318" s="123"/>
      <c r="M318" s="132"/>
      <c r="N318" s="132"/>
      <c r="O318" s="27"/>
      <c r="P318" s="27"/>
      <c r="Q318" s="132"/>
      <c r="R318" s="132"/>
      <c r="S318" s="124"/>
      <c r="T318" s="27"/>
      <c r="U318" s="27"/>
      <c r="V318" s="27"/>
      <c r="W318" s="27"/>
      <c r="X318" s="27"/>
      <c r="Y318" s="27"/>
      <c r="Z318" s="27"/>
      <c r="AA318" s="27"/>
      <c r="AB318" s="27"/>
      <c r="AC318" s="27"/>
      <c r="AD318" s="123"/>
    </row>
    <row r="319" spans="1:30" s="241" customFormat="1" ht="12.75" customHeight="1" x14ac:dyDescent="0.2">
      <c r="A319" s="132"/>
      <c r="B319" s="32"/>
      <c r="C319" s="27"/>
      <c r="D319" s="27"/>
      <c r="E319" s="119"/>
      <c r="F319" s="119"/>
      <c r="G319" s="119"/>
      <c r="H319" s="119"/>
      <c r="I319" s="119"/>
      <c r="J319" s="119"/>
      <c r="K319" s="123"/>
      <c r="L319" s="123"/>
      <c r="M319" s="132"/>
      <c r="N319" s="132"/>
      <c r="O319" s="27"/>
      <c r="P319" s="27"/>
      <c r="Q319" s="132"/>
      <c r="R319" s="132"/>
      <c r="S319" s="124"/>
      <c r="T319" s="27"/>
      <c r="U319" s="27"/>
      <c r="V319" s="27"/>
      <c r="W319" s="27"/>
      <c r="X319" s="27"/>
      <c r="Y319" s="27"/>
      <c r="Z319" s="27"/>
      <c r="AA319" s="27"/>
      <c r="AB319" s="27"/>
      <c r="AC319" s="27"/>
      <c r="AD319" s="123"/>
    </row>
    <row r="320" spans="1:30" s="241" customFormat="1" ht="12.75" customHeight="1" x14ac:dyDescent="0.2">
      <c r="A320" s="132"/>
      <c r="B320" s="32"/>
      <c r="C320" s="27"/>
      <c r="D320" s="27"/>
      <c r="E320" s="119"/>
      <c r="F320" s="119"/>
      <c r="G320" s="119"/>
      <c r="H320" s="119"/>
      <c r="I320" s="119"/>
      <c r="J320" s="119"/>
      <c r="K320" s="123"/>
      <c r="L320" s="123"/>
      <c r="M320" s="132"/>
      <c r="N320" s="132"/>
      <c r="O320" s="27"/>
      <c r="P320" s="27"/>
      <c r="Q320" s="132"/>
      <c r="R320" s="132"/>
      <c r="S320" s="124"/>
      <c r="T320" s="27"/>
      <c r="U320" s="27"/>
      <c r="V320" s="27"/>
      <c r="W320" s="27"/>
      <c r="X320" s="27"/>
      <c r="Y320" s="27"/>
      <c r="Z320" s="27"/>
      <c r="AA320" s="27"/>
      <c r="AB320" s="27"/>
      <c r="AC320" s="27"/>
      <c r="AD320" s="123"/>
    </row>
    <row r="321" spans="1:30" s="241" customFormat="1" ht="12.75" customHeight="1" x14ac:dyDescent="0.2">
      <c r="A321" s="132"/>
      <c r="B321" s="32"/>
      <c r="C321" s="27"/>
      <c r="D321" s="27"/>
      <c r="E321" s="119"/>
      <c r="F321" s="119"/>
      <c r="G321" s="119"/>
      <c r="H321" s="119"/>
      <c r="I321" s="119"/>
      <c r="J321" s="119"/>
      <c r="K321" s="123"/>
      <c r="L321" s="123"/>
      <c r="M321" s="132"/>
      <c r="N321" s="132"/>
      <c r="O321" s="27"/>
      <c r="P321" s="27"/>
      <c r="Q321" s="132"/>
      <c r="R321" s="132"/>
      <c r="S321" s="124"/>
      <c r="T321" s="27"/>
      <c r="U321" s="27"/>
      <c r="V321" s="27"/>
      <c r="W321" s="27"/>
      <c r="X321" s="27"/>
      <c r="Y321" s="27"/>
      <c r="Z321" s="27"/>
      <c r="AA321" s="27"/>
      <c r="AB321" s="27"/>
      <c r="AC321" s="27"/>
      <c r="AD321" s="123"/>
    </row>
    <row r="322" spans="1:30" s="241" customFormat="1" ht="12.75" customHeight="1" x14ac:dyDescent="0.2">
      <c r="A322" s="132"/>
      <c r="B322" s="32"/>
      <c r="C322" s="27"/>
      <c r="D322" s="27"/>
      <c r="E322" s="119"/>
      <c r="F322" s="119"/>
      <c r="G322" s="119"/>
      <c r="H322" s="119"/>
      <c r="I322" s="119"/>
      <c r="J322" s="119"/>
      <c r="K322" s="123"/>
      <c r="L322" s="123"/>
      <c r="M322" s="132"/>
      <c r="N322" s="132"/>
      <c r="O322" s="27"/>
      <c r="P322" s="27"/>
      <c r="Q322" s="132"/>
      <c r="R322" s="132"/>
      <c r="S322" s="124"/>
      <c r="T322" s="27"/>
      <c r="U322" s="27"/>
      <c r="V322" s="27"/>
      <c r="W322" s="27"/>
      <c r="X322" s="27"/>
      <c r="Y322" s="27"/>
      <c r="Z322" s="27"/>
      <c r="AA322" s="27"/>
      <c r="AB322" s="27"/>
      <c r="AC322" s="27"/>
      <c r="AD322" s="123"/>
    </row>
    <row r="323" spans="1:30" s="241" customFormat="1" ht="12.75" customHeight="1" x14ac:dyDescent="0.2">
      <c r="A323" s="132"/>
      <c r="B323" s="32"/>
      <c r="C323" s="27"/>
      <c r="D323" s="27"/>
      <c r="E323" s="119"/>
      <c r="F323" s="119"/>
      <c r="G323" s="119"/>
      <c r="H323" s="119"/>
      <c r="I323" s="119"/>
      <c r="J323" s="119"/>
      <c r="K323" s="123"/>
      <c r="L323" s="123"/>
      <c r="M323" s="132"/>
      <c r="N323" s="132"/>
      <c r="O323" s="27"/>
      <c r="P323" s="27"/>
      <c r="Q323" s="132"/>
      <c r="R323" s="132"/>
      <c r="S323" s="124"/>
      <c r="T323" s="27"/>
      <c r="U323" s="27"/>
      <c r="V323" s="27"/>
      <c r="W323" s="27"/>
      <c r="X323" s="27"/>
      <c r="Y323" s="27"/>
      <c r="Z323" s="27"/>
      <c r="AA323" s="27"/>
      <c r="AB323" s="27"/>
      <c r="AC323" s="27"/>
      <c r="AD323" s="123"/>
    </row>
    <row r="324" spans="1:30" s="241" customFormat="1" ht="12.75" customHeight="1" x14ac:dyDescent="0.2">
      <c r="A324" s="132"/>
      <c r="B324" s="32"/>
      <c r="C324" s="27"/>
      <c r="D324" s="27"/>
      <c r="E324" s="119"/>
      <c r="F324" s="119"/>
      <c r="G324" s="119"/>
      <c r="H324" s="119"/>
      <c r="I324" s="119"/>
      <c r="J324" s="119"/>
      <c r="K324" s="123"/>
      <c r="L324" s="123"/>
      <c r="M324" s="132"/>
      <c r="N324" s="132"/>
      <c r="O324" s="27"/>
      <c r="P324" s="27"/>
      <c r="Q324" s="132"/>
      <c r="R324" s="132"/>
      <c r="S324" s="124"/>
      <c r="T324" s="27"/>
      <c r="U324" s="27"/>
      <c r="V324" s="27"/>
      <c r="W324" s="27"/>
      <c r="X324" s="27"/>
      <c r="Y324" s="27"/>
      <c r="Z324" s="27"/>
      <c r="AA324" s="27"/>
      <c r="AB324" s="27"/>
      <c r="AC324" s="27"/>
      <c r="AD324" s="123"/>
    </row>
    <row r="325" spans="1:30" s="241" customFormat="1" ht="12.75" customHeight="1" x14ac:dyDescent="0.2">
      <c r="A325" s="132"/>
      <c r="B325" s="32"/>
      <c r="C325" s="27"/>
      <c r="D325" s="27"/>
      <c r="E325" s="119"/>
      <c r="F325" s="119"/>
      <c r="G325" s="119"/>
      <c r="H325" s="119"/>
      <c r="I325" s="119"/>
      <c r="J325" s="119"/>
      <c r="K325" s="123"/>
      <c r="L325" s="123"/>
      <c r="M325" s="132"/>
      <c r="N325" s="132"/>
      <c r="O325" s="27"/>
      <c r="P325" s="27"/>
      <c r="Q325" s="132"/>
      <c r="R325" s="132"/>
      <c r="S325" s="124"/>
      <c r="T325" s="27"/>
      <c r="U325" s="27"/>
      <c r="V325" s="27"/>
      <c r="W325" s="27"/>
      <c r="X325" s="27"/>
      <c r="Y325" s="27"/>
      <c r="Z325" s="27"/>
      <c r="AA325" s="27"/>
      <c r="AB325" s="27"/>
      <c r="AC325" s="27"/>
      <c r="AD325" s="123"/>
    </row>
    <row r="326" spans="1:30" s="241" customFormat="1" ht="12.75" customHeight="1" x14ac:dyDescent="0.2">
      <c r="A326" s="132"/>
      <c r="B326" s="32"/>
      <c r="C326" s="27"/>
      <c r="D326" s="27"/>
      <c r="E326" s="119"/>
      <c r="F326" s="119"/>
      <c r="G326" s="119"/>
      <c r="H326" s="119"/>
      <c r="I326" s="119"/>
      <c r="J326" s="119"/>
      <c r="K326" s="123"/>
      <c r="L326" s="123"/>
      <c r="M326" s="132"/>
      <c r="N326" s="132"/>
      <c r="O326" s="27"/>
      <c r="P326" s="27"/>
      <c r="Q326" s="132"/>
      <c r="R326" s="132"/>
      <c r="S326" s="124"/>
      <c r="T326" s="27"/>
      <c r="U326" s="27"/>
      <c r="V326" s="27"/>
      <c r="W326" s="27"/>
      <c r="X326" s="27"/>
      <c r="Y326" s="27"/>
      <c r="Z326" s="27"/>
      <c r="AA326" s="27"/>
      <c r="AB326" s="27"/>
      <c r="AC326" s="27"/>
      <c r="AD326" s="123"/>
    </row>
    <row r="327" spans="1:30" s="241" customFormat="1" ht="12.75" customHeight="1" x14ac:dyDescent="0.2">
      <c r="A327" s="132"/>
      <c r="B327" s="32"/>
      <c r="C327" s="27"/>
      <c r="D327" s="27"/>
      <c r="E327" s="119"/>
      <c r="F327" s="119"/>
      <c r="G327" s="119"/>
      <c r="H327" s="119"/>
      <c r="I327" s="119"/>
      <c r="J327" s="119"/>
      <c r="K327" s="123"/>
      <c r="L327" s="123"/>
      <c r="M327" s="132"/>
      <c r="N327" s="132"/>
      <c r="O327" s="27"/>
      <c r="P327" s="27"/>
      <c r="Q327" s="132"/>
      <c r="R327" s="132"/>
      <c r="S327" s="124"/>
      <c r="T327" s="27"/>
      <c r="U327" s="27"/>
      <c r="V327" s="27"/>
      <c r="W327" s="27"/>
      <c r="X327" s="27"/>
      <c r="Y327" s="27"/>
      <c r="Z327" s="27"/>
      <c r="AA327" s="27"/>
      <c r="AB327" s="27"/>
      <c r="AC327" s="27"/>
      <c r="AD327" s="123"/>
    </row>
    <row r="328" spans="1:30" s="241" customFormat="1" ht="12.75" customHeight="1" x14ac:dyDescent="0.2">
      <c r="A328" s="132"/>
      <c r="B328" s="32"/>
      <c r="C328" s="27"/>
      <c r="D328" s="27"/>
      <c r="E328" s="119"/>
      <c r="F328" s="119"/>
      <c r="G328" s="119"/>
      <c r="H328" s="119"/>
      <c r="I328" s="119"/>
      <c r="J328" s="119"/>
      <c r="K328" s="123"/>
      <c r="L328" s="123"/>
      <c r="M328" s="132"/>
      <c r="N328" s="132"/>
      <c r="O328" s="27"/>
      <c r="P328" s="27"/>
      <c r="Q328" s="132"/>
      <c r="R328" s="132"/>
      <c r="S328" s="124"/>
      <c r="T328" s="27"/>
      <c r="U328" s="27"/>
      <c r="V328" s="27"/>
      <c r="W328" s="27"/>
      <c r="X328" s="27"/>
      <c r="Y328" s="27"/>
      <c r="Z328" s="27"/>
      <c r="AA328" s="27"/>
      <c r="AB328" s="27"/>
      <c r="AC328" s="27"/>
      <c r="AD328" s="123"/>
    </row>
    <row r="329" spans="1:30" s="241" customFormat="1" ht="12.75" customHeight="1" x14ac:dyDescent="0.2">
      <c r="A329" s="132"/>
      <c r="B329" s="32"/>
      <c r="C329" s="27"/>
      <c r="D329" s="27"/>
      <c r="E329" s="119"/>
      <c r="F329" s="119"/>
      <c r="G329" s="119"/>
      <c r="H329" s="119"/>
      <c r="I329" s="119"/>
      <c r="J329" s="119"/>
      <c r="K329" s="123"/>
      <c r="L329" s="123"/>
      <c r="M329" s="132"/>
      <c r="N329" s="132"/>
      <c r="O329" s="27"/>
      <c r="P329" s="27"/>
      <c r="Q329" s="132"/>
      <c r="R329" s="132"/>
      <c r="S329" s="124"/>
      <c r="T329" s="27"/>
      <c r="U329" s="27"/>
      <c r="V329" s="27"/>
      <c r="W329" s="27"/>
      <c r="X329" s="27"/>
      <c r="Y329" s="27"/>
      <c r="Z329" s="27"/>
      <c r="AA329" s="27"/>
      <c r="AB329" s="27"/>
      <c r="AC329" s="27"/>
      <c r="AD329" s="123"/>
    </row>
    <row r="330" spans="1:30" s="241" customFormat="1" ht="12.75" customHeight="1" x14ac:dyDescent="0.2">
      <c r="A330" s="132"/>
      <c r="B330" s="32"/>
      <c r="C330" s="27"/>
      <c r="D330" s="27"/>
      <c r="E330" s="119"/>
      <c r="F330" s="119"/>
      <c r="G330" s="119"/>
      <c r="H330" s="119"/>
      <c r="I330" s="119"/>
      <c r="J330" s="119"/>
      <c r="K330" s="123"/>
      <c r="L330" s="123"/>
      <c r="M330" s="132"/>
      <c r="N330" s="132"/>
      <c r="O330" s="27"/>
      <c r="P330" s="27"/>
      <c r="Q330" s="132"/>
      <c r="R330" s="132"/>
      <c r="S330" s="124"/>
      <c r="T330" s="27"/>
      <c r="U330" s="27"/>
      <c r="V330" s="27"/>
      <c r="W330" s="27"/>
      <c r="X330" s="27"/>
      <c r="Y330" s="27"/>
      <c r="Z330" s="27"/>
      <c r="AA330" s="27"/>
      <c r="AB330" s="27"/>
      <c r="AC330" s="27"/>
      <c r="AD330" s="123"/>
    </row>
    <row r="331" spans="1:30" s="241" customFormat="1" ht="12.75" customHeight="1" x14ac:dyDescent="0.2">
      <c r="A331" s="132"/>
      <c r="B331" s="32"/>
      <c r="C331" s="27"/>
      <c r="D331" s="27"/>
      <c r="E331" s="119"/>
      <c r="F331" s="119"/>
      <c r="G331" s="119"/>
      <c r="H331" s="119"/>
      <c r="I331" s="119"/>
      <c r="J331" s="119"/>
      <c r="K331" s="123"/>
      <c r="L331" s="123"/>
      <c r="M331" s="132"/>
      <c r="N331" s="132"/>
      <c r="O331" s="27"/>
      <c r="P331" s="27"/>
      <c r="Q331" s="132"/>
      <c r="R331" s="132"/>
      <c r="S331" s="124"/>
      <c r="T331" s="27"/>
      <c r="U331" s="27"/>
      <c r="V331" s="27"/>
      <c r="W331" s="27"/>
      <c r="X331" s="27"/>
      <c r="Y331" s="27"/>
      <c r="Z331" s="27"/>
      <c r="AA331" s="27"/>
      <c r="AB331" s="27"/>
      <c r="AC331" s="27"/>
      <c r="AD331" s="123"/>
    </row>
    <row r="332" spans="1:30" s="241" customFormat="1" ht="12.75" customHeight="1" x14ac:dyDescent="0.2">
      <c r="A332" s="132"/>
      <c r="B332" s="32"/>
      <c r="C332" s="27"/>
      <c r="D332" s="27"/>
      <c r="E332" s="119"/>
      <c r="F332" s="119"/>
      <c r="G332" s="119"/>
      <c r="H332" s="119"/>
      <c r="I332" s="119"/>
      <c r="J332" s="119"/>
      <c r="K332" s="123"/>
      <c r="L332" s="123"/>
      <c r="M332" s="132"/>
      <c r="N332" s="132"/>
      <c r="O332" s="27"/>
      <c r="P332" s="27"/>
      <c r="Q332" s="132"/>
      <c r="R332" s="132"/>
      <c r="S332" s="124"/>
      <c r="T332" s="27"/>
      <c r="U332" s="27"/>
      <c r="V332" s="27"/>
      <c r="W332" s="27"/>
      <c r="X332" s="27"/>
      <c r="Y332" s="27"/>
      <c r="Z332" s="27"/>
      <c r="AA332" s="27"/>
      <c r="AB332" s="27"/>
      <c r="AC332" s="27"/>
      <c r="AD332" s="123"/>
    </row>
    <row r="333" spans="1:30" s="241" customFormat="1" ht="12.75" customHeight="1" x14ac:dyDescent="0.2">
      <c r="A333" s="132"/>
      <c r="B333" s="32"/>
      <c r="C333" s="27"/>
      <c r="D333" s="27"/>
      <c r="E333" s="119"/>
      <c r="F333" s="119"/>
      <c r="G333" s="119"/>
      <c r="H333" s="119"/>
      <c r="I333" s="119"/>
      <c r="J333" s="119"/>
      <c r="K333" s="123"/>
      <c r="L333" s="123"/>
      <c r="M333" s="132"/>
      <c r="N333" s="132"/>
      <c r="O333" s="27"/>
      <c r="P333" s="27"/>
      <c r="Q333" s="132"/>
      <c r="R333" s="132"/>
      <c r="S333" s="124"/>
      <c r="T333" s="27"/>
      <c r="U333" s="27"/>
      <c r="V333" s="27"/>
      <c r="W333" s="27"/>
      <c r="X333" s="27"/>
      <c r="Y333" s="27"/>
      <c r="Z333" s="27"/>
      <c r="AA333" s="27"/>
      <c r="AB333" s="27"/>
      <c r="AC333" s="27"/>
      <c r="AD333" s="123"/>
    </row>
    <row r="334" spans="1:30" s="241" customFormat="1" ht="12.75" customHeight="1" x14ac:dyDescent="0.2">
      <c r="A334" s="132"/>
      <c r="B334" s="32"/>
      <c r="C334" s="27"/>
      <c r="D334" s="27"/>
      <c r="E334" s="119"/>
      <c r="F334" s="119"/>
      <c r="G334" s="119"/>
      <c r="H334" s="119"/>
      <c r="I334" s="119"/>
      <c r="J334" s="119"/>
      <c r="K334" s="123"/>
      <c r="L334" s="123"/>
      <c r="M334" s="132"/>
      <c r="N334" s="132"/>
      <c r="O334" s="27"/>
      <c r="P334" s="27"/>
      <c r="Q334" s="132"/>
      <c r="R334" s="132"/>
      <c r="S334" s="124"/>
      <c r="T334" s="27"/>
      <c r="U334" s="27"/>
      <c r="V334" s="27"/>
      <c r="W334" s="27"/>
      <c r="X334" s="27"/>
      <c r="Y334" s="27"/>
      <c r="Z334" s="27"/>
      <c r="AA334" s="27"/>
      <c r="AB334" s="27"/>
      <c r="AC334" s="27"/>
      <c r="AD334" s="123"/>
    </row>
    <row r="335" spans="1:30" s="241" customFormat="1" ht="12.75" customHeight="1" x14ac:dyDescent="0.2">
      <c r="A335" s="132"/>
      <c r="B335" s="32"/>
      <c r="C335" s="27"/>
      <c r="D335" s="27"/>
      <c r="E335" s="119"/>
      <c r="F335" s="119"/>
      <c r="G335" s="119"/>
      <c r="H335" s="119"/>
      <c r="I335" s="119"/>
      <c r="J335" s="119"/>
      <c r="K335" s="123"/>
      <c r="L335" s="123"/>
      <c r="M335" s="132"/>
      <c r="N335" s="132"/>
      <c r="O335" s="27"/>
      <c r="P335" s="27"/>
      <c r="Q335" s="132"/>
      <c r="R335" s="132"/>
      <c r="S335" s="124"/>
      <c r="T335" s="27"/>
      <c r="U335" s="27"/>
      <c r="V335" s="27"/>
      <c r="W335" s="27"/>
      <c r="X335" s="27"/>
      <c r="Y335" s="27"/>
      <c r="Z335" s="27"/>
      <c r="AA335" s="27"/>
      <c r="AB335" s="27"/>
      <c r="AC335" s="27"/>
      <c r="AD335" s="123"/>
    </row>
    <row r="336" spans="1:30" s="241" customFormat="1" ht="12.75" customHeight="1" x14ac:dyDescent="0.2">
      <c r="A336" s="132"/>
      <c r="B336" s="32"/>
      <c r="C336" s="27"/>
      <c r="D336" s="27"/>
      <c r="E336" s="119"/>
      <c r="F336" s="119"/>
      <c r="G336" s="119"/>
      <c r="H336" s="119"/>
      <c r="I336" s="119"/>
      <c r="J336" s="119"/>
      <c r="K336" s="123"/>
      <c r="L336" s="123"/>
      <c r="M336" s="132"/>
      <c r="N336" s="132"/>
      <c r="O336" s="27"/>
      <c r="P336" s="27"/>
      <c r="Q336" s="132"/>
      <c r="R336" s="132"/>
      <c r="S336" s="124"/>
      <c r="T336" s="27"/>
      <c r="U336" s="27"/>
      <c r="V336" s="27"/>
      <c r="W336" s="27"/>
      <c r="X336" s="27"/>
      <c r="Y336" s="27"/>
      <c r="Z336" s="27"/>
      <c r="AA336" s="27"/>
      <c r="AB336" s="27"/>
      <c r="AC336" s="27"/>
      <c r="AD336" s="123"/>
    </row>
    <row r="337" spans="1:30" s="241" customFormat="1" ht="12.75" customHeight="1" x14ac:dyDescent="0.2">
      <c r="A337" s="132"/>
      <c r="B337" s="32"/>
      <c r="C337" s="27"/>
      <c r="D337" s="27"/>
      <c r="E337" s="119"/>
      <c r="F337" s="119"/>
      <c r="G337" s="119"/>
      <c r="H337" s="119"/>
      <c r="I337" s="119"/>
      <c r="J337" s="119"/>
      <c r="K337" s="123"/>
      <c r="L337" s="123"/>
      <c r="M337" s="132"/>
      <c r="N337" s="132"/>
      <c r="O337" s="27"/>
      <c r="P337" s="27"/>
      <c r="Q337" s="132"/>
      <c r="R337" s="132"/>
      <c r="S337" s="124"/>
      <c r="T337" s="27"/>
      <c r="U337" s="27"/>
      <c r="V337" s="27"/>
      <c r="W337" s="27"/>
      <c r="X337" s="27"/>
      <c r="Y337" s="27"/>
      <c r="Z337" s="27"/>
      <c r="AA337" s="27"/>
      <c r="AB337" s="27"/>
      <c r="AC337" s="27"/>
      <c r="AD337" s="123"/>
    </row>
    <row r="338" spans="1:30" s="241" customFormat="1" ht="12.75" customHeight="1" x14ac:dyDescent="0.2">
      <c r="A338" s="132"/>
      <c r="B338" s="32"/>
      <c r="C338" s="27"/>
      <c r="D338" s="27"/>
      <c r="E338" s="119"/>
      <c r="F338" s="119"/>
      <c r="G338" s="119"/>
      <c r="H338" s="119"/>
      <c r="I338" s="119"/>
      <c r="J338" s="119"/>
      <c r="K338" s="123"/>
      <c r="L338" s="123"/>
      <c r="M338" s="132"/>
      <c r="N338" s="132"/>
      <c r="O338" s="27"/>
      <c r="P338" s="27"/>
      <c r="Q338" s="132"/>
      <c r="R338" s="132"/>
      <c r="S338" s="124"/>
      <c r="T338" s="27"/>
      <c r="U338" s="27"/>
      <c r="V338" s="27"/>
      <c r="W338" s="27"/>
      <c r="X338" s="27"/>
      <c r="Y338" s="27"/>
      <c r="Z338" s="27"/>
      <c r="AA338" s="27"/>
      <c r="AB338" s="27"/>
      <c r="AC338" s="27"/>
      <c r="AD338" s="123"/>
    </row>
    <row r="339" spans="1:30" s="241" customFormat="1" ht="12.75" customHeight="1" x14ac:dyDescent="0.2">
      <c r="A339" s="132"/>
      <c r="B339" s="32"/>
      <c r="C339" s="27"/>
      <c r="D339" s="27"/>
      <c r="E339" s="119"/>
      <c r="F339" s="119"/>
      <c r="G339" s="119"/>
      <c r="H339" s="119"/>
      <c r="I339" s="119"/>
      <c r="J339" s="119"/>
      <c r="K339" s="123"/>
      <c r="L339" s="123"/>
      <c r="M339" s="132"/>
      <c r="N339" s="132"/>
      <c r="O339" s="27"/>
      <c r="P339" s="27"/>
      <c r="Q339" s="132"/>
      <c r="R339" s="132"/>
      <c r="S339" s="124"/>
      <c r="T339" s="27"/>
      <c r="U339" s="27"/>
      <c r="V339" s="27"/>
      <c r="W339" s="27"/>
      <c r="X339" s="27"/>
      <c r="Y339" s="27"/>
      <c r="Z339" s="27"/>
      <c r="AA339" s="27"/>
      <c r="AB339" s="27"/>
      <c r="AC339" s="27"/>
      <c r="AD339" s="123"/>
    </row>
    <row r="340" spans="1:30" s="241" customFormat="1" ht="12.75" customHeight="1" x14ac:dyDescent="0.2">
      <c r="A340" s="132"/>
      <c r="B340" s="32"/>
      <c r="C340" s="27"/>
      <c r="D340" s="27"/>
      <c r="E340" s="119"/>
      <c r="F340" s="119"/>
      <c r="G340" s="119"/>
      <c r="H340" s="119"/>
      <c r="I340" s="119"/>
      <c r="J340" s="119"/>
      <c r="K340" s="123"/>
      <c r="L340" s="123"/>
      <c r="M340" s="132"/>
      <c r="N340" s="132"/>
      <c r="O340" s="27"/>
      <c r="P340" s="27"/>
      <c r="Q340" s="132"/>
      <c r="R340" s="132"/>
      <c r="S340" s="124"/>
      <c r="T340" s="27"/>
      <c r="U340" s="27"/>
      <c r="V340" s="27"/>
      <c r="W340" s="27"/>
      <c r="X340" s="27"/>
      <c r="Y340" s="27"/>
      <c r="Z340" s="27"/>
      <c r="AA340" s="27"/>
      <c r="AB340" s="27"/>
      <c r="AC340" s="27"/>
      <c r="AD340" s="123"/>
    </row>
    <row r="341" spans="1:30" s="241" customFormat="1" ht="12.75" customHeight="1" x14ac:dyDescent="0.2">
      <c r="A341" s="132"/>
      <c r="B341" s="32"/>
      <c r="C341" s="27"/>
      <c r="D341" s="27"/>
      <c r="E341" s="119"/>
      <c r="F341" s="119"/>
      <c r="G341" s="119"/>
      <c r="H341" s="119"/>
      <c r="I341" s="119"/>
      <c r="J341" s="119"/>
      <c r="K341" s="123"/>
      <c r="L341" s="123"/>
      <c r="M341" s="132"/>
      <c r="N341" s="132"/>
      <c r="O341" s="27"/>
      <c r="P341" s="27"/>
      <c r="Q341" s="132"/>
      <c r="R341" s="132"/>
      <c r="S341" s="124"/>
      <c r="T341" s="27"/>
      <c r="U341" s="27"/>
      <c r="V341" s="27"/>
      <c r="W341" s="27"/>
      <c r="X341" s="27"/>
      <c r="Y341" s="27"/>
      <c r="Z341" s="27"/>
      <c r="AA341" s="27"/>
      <c r="AB341" s="27"/>
      <c r="AC341" s="27"/>
      <c r="AD341" s="123"/>
    </row>
    <row r="342" spans="1:30" s="241" customFormat="1" ht="12.75" customHeight="1" x14ac:dyDescent="0.2">
      <c r="A342" s="132"/>
      <c r="B342" s="32"/>
      <c r="C342" s="27"/>
      <c r="D342" s="27"/>
      <c r="E342" s="119"/>
      <c r="F342" s="119"/>
      <c r="G342" s="119"/>
      <c r="H342" s="119"/>
      <c r="I342" s="119"/>
      <c r="J342" s="119"/>
      <c r="K342" s="123"/>
      <c r="L342" s="123"/>
      <c r="M342" s="132"/>
      <c r="N342" s="132"/>
      <c r="O342" s="27"/>
      <c r="P342" s="27"/>
      <c r="Q342" s="132"/>
      <c r="R342" s="132"/>
      <c r="S342" s="124"/>
      <c r="T342" s="27"/>
      <c r="U342" s="27"/>
      <c r="V342" s="27"/>
      <c r="W342" s="27"/>
      <c r="X342" s="27"/>
      <c r="Y342" s="27"/>
      <c r="Z342" s="27"/>
      <c r="AA342" s="27"/>
      <c r="AB342" s="27"/>
      <c r="AC342" s="27"/>
      <c r="AD342" s="123"/>
    </row>
    <row r="343" spans="1:30" s="241" customFormat="1" ht="12.75" customHeight="1" x14ac:dyDescent="0.2">
      <c r="A343" s="132"/>
      <c r="B343" s="32"/>
      <c r="C343" s="27"/>
      <c r="D343" s="27"/>
      <c r="E343" s="119"/>
      <c r="F343" s="119"/>
      <c r="G343" s="119"/>
      <c r="H343" s="119"/>
      <c r="I343" s="119"/>
      <c r="J343" s="119"/>
      <c r="K343" s="123"/>
      <c r="L343" s="123"/>
      <c r="M343" s="132"/>
      <c r="N343" s="132"/>
      <c r="O343" s="27"/>
      <c r="P343" s="27"/>
      <c r="Q343" s="132"/>
      <c r="R343" s="132"/>
      <c r="S343" s="124"/>
      <c r="T343" s="27"/>
      <c r="U343" s="27"/>
      <c r="V343" s="27"/>
      <c r="W343" s="27"/>
      <c r="X343" s="27"/>
      <c r="Y343" s="27"/>
      <c r="Z343" s="27"/>
      <c r="AA343" s="27"/>
      <c r="AB343" s="27"/>
      <c r="AC343" s="27"/>
      <c r="AD343" s="123"/>
    </row>
    <row r="344" spans="1:30" s="241" customFormat="1" ht="12.75" customHeight="1" x14ac:dyDescent="0.2">
      <c r="A344" s="132"/>
      <c r="B344" s="32"/>
      <c r="C344" s="27"/>
      <c r="D344" s="27"/>
      <c r="E344" s="119"/>
      <c r="F344" s="119"/>
      <c r="G344" s="119"/>
      <c r="H344" s="119"/>
      <c r="I344" s="119"/>
      <c r="J344" s="119"/>
      <c r="K344" s="123"/>
      <c r="L344" s="123"/>
      <c r="M344" s="132"/>
      <c r="N344" s="132"/>
      <c r="O344" s="27"/>
      <c r="P344" s="27"/>
      <c r="Q344" s="132"/>
      <c r="R344" s="132"/>
      <c r="S344" s="124"/>
      <c r="T344" s="27"/>
      <c r="U344" s="27"/>
      <c r="V344" s="27"/>
      <c r="W344" s="27"/>
      <c r="X344" s="27"/>
      <c r="Y344" s="27"/>
      <c r="Z344" s="27"/>
      <c r="AA344" s="27"/>
      <c r="AB344" s="27"/>
      <c r="AC344" s="27"/>
      <c r="AD344" s="123"/>
    </row>
    <row r="345" spans="1:30" s="241" customFormat="1" ht="12.75" customHeight="1" x14ac:dyDescent="0.2">
      <c r="A345" s="132"/>
      <c r="B345" s="32"/>
      <c r="C345" s="27"/>
      <c r="D345" s="27"/>
      <c r="E345" s="119"/>
      <c r="F345" s="119"/>
      <c r="G345" s="119"/>
      <c r="H345" s="119"/>
      <c r="I345" s="119"/>
      <c r="J345" s="119"/>
      <c r="K345" s="123"/>
      <c r="L345" s="123"/>
      <c r="M345" s="132"/>
      <c r="N345" s="132"/>
      <c r="O345" s="27"/>
      <c r="P345" s="27"/>
      <c r="Q345" s="132"/>
      <c r="R345" s="132"/>
      <c r="S345" s="124"/>
      <c r="T345" s="27"/>
      <c r="U345" s="27"/>
      <c r="V345" s="27"/>
      <c r="W345" s="27"/>
      <c r="X345" s="27"/>
      <c r="Y345" s="27"/>
      <c r="Z345" s="27"/>
      <c r="AA345" s="27"/>
      <c r="AB345" s="27"/>
      <c r="AC345" s="27"/>
      <c r="AD345" s="123"/>
    </row>
    <row r="346" spans="1:30" s="241" customFormat="1" ht="12.75" customHeight="1" x14ac:dyDescent="0.2">
      <c r="A346" s="132"/>
      <c r="B346" s="32"/>
      <c r="C346" s="27"/>
      <c r="D346" s="27"/>
      <c r="E346" s="119"/>
      <c r="F346" s="119"/>
      <c r="G346" s="119"/>
      <c r="H346" s="119"/>
      <c r="I346" s="119"/>
      <c r="J346" s="119"/>
      <c r="K346" s="123"/>
      <c r="L346" s="123"/>
      <c r="M346" s="132"/>
      <c r="N346" s="132"/>
      <c r="O346" s="27"/>
      <c r="P346" s="27"/>
      <c r="Q346" s="132"/>
      <c r="R346" s="132"/>
      <c r="S346" s="124"/>
      <c r="T346" s="27"/>
      <c r="U346" s="27"/>
      <c r="V346" s="27"/>
      <c r="W346" s="27"/>
      <c r="X346" s="27"/>
      <c r="Y346" s="27"/>
      <c r="Z346" s="27"/>
      <c r="AA346" s="27"/>
      <c r="AB346" s="27"/>
      <c r="AC346" s="27"/>
      <c r="AD346" s="123"/>
    </row>
    <row r="347" spans="1:30" s="241" customFormat="1" ht="12.75" customHeight="1" x14ac:dyDescent="0.2">
      <c r="A347" s="132"/>
      <c r="B347" s="32"/>
      <c r="C347" s="27"/>
      <c r="D347" s="27"/>
      <c r="E347" s="119"/>
      <c r="F347" s="119"/>
      <c r="G347" s="119"/>
      <c r="H347" s="119"/>
      <c r="I347" s="119"/>
      <c r="J347" s="119"/>
      <c r="K347" s="123"/>
      <c r="L347" s="123"/>
      <c r="M347" s="132"/>
      <c r="N347" s="132"/>
      <c r="O347" s="27"/>
      <c r="P347" s="27"/>
      <c r="Q347" s="132"/>
      <c r="R347" s="132"/>
      <c r="S347" s="124"/>
      <c r="T347" s="27"/>
      <c r="U347" s="27"/>
      <c r="V347" s="27"/>
      <c r="W347" s="27"/>
      <c r="X347" s="27"/>
      <c r="Y347" s="27"/>
      <c r="Z347" s="27"/>
      <c r="AA347" s="27"/>
      <c r="AB347" s="27"/>
      <c r="AC347" s="27"/>
      <c r="AD347" s="123"/>
    </row>
    <row r="348" spans="1:30" s="241" customFormat="1" ht="12.75" customHeight="1" x14ac:dyDescent="0.2">
      <c r="A348" s="132"/>
      <c r="B348" s="32"/>
      <c r="C348" s="27"/>
      <c r="D348" s="27"/>
      <c r="E348" s="119"/>
      <c r="F348" s="119"/>
      <c r="G348" s="119"/>
      <c r="H348" s="119"/>
      <c r="I348" s="119"/>
      <c r="J348" s="119"/>
      <c r="K348" s="123"/>
      <c r="L348" s="123"/>
      <c r="M348" s="132"/>
      <c r="N348" s="132"/>
      <c r="O348" s="27"/>
      <c r="P348" s="27"/>
      <c r="Q348" s="132"/>
      <c r="R348" s="132"/>
      <c r="S348" s="124"/>
      <c r="T348" s="27"/>
      <c r="U348" s="27"/>
      <c r="V348" s="27"/>
      <c r="W348" s="27"/>
      <c r="X348" s="27"/>
      <c r="Y348" s="27"/>
      <c r="Z348" s="27"/>
      <c r="AA348" s="27"/>
      <c r="AB348" s="27"/>
      <c r="AC348" s="27"/>
      <c r="AD348" s="123"/>
    </row>
    <row r="349" spans="1:30" s="241" customFormat="1" ht="12.75" customHeight="1" x14ac:dyDescent="0.2">
      <c r="A349" s="132"/>
      <c r="B349" s="32"/>
      <c r="C349" s="27"/>
      <c r="D349" s="27"/>
      <c r="E349" s="119"/>
      <c r="F349" s="119"/>
      <c r="G349" s="119"/>
      <c r="H349" s="119"/>
      <c r="I349" s="119"/>
      <c r="J349" s="119"/>
      <c r="K349" s="123"/>
      <c r="L349" s="123"/>
      <c r="M349" s="132"/>
      <c r="N349" s="132"/>
      <c r="O349" s="27"/>
      <c r="P349" s="27"/>
      <c r="Q349" s="132"/>
      <c r="R349" s="132"/>
      <c r="S349" s="124"/>
      <c r="T349" s="27"/>
      <c r="U349" s="27"/>
      <c r="V349" s="27"/>
      <c r="W349" s="27"/>
      <c r="X349" s="27"/>
      <c r="Y349" s="27"/>
      <c r="Z349" s="27"/>
      <c r="AA349" s="27"/>
      <c r="AB349" s="27"/>
      <c r="AC349" s="27"/>
      <c r="AD349" s="123"/>
    </row>
    <row r="350" spans="1:30" s="241" customFormat="1" ht="12.75" customHeight="1" x14ac:dyDescent="0.2">
      <c r="A350" s="132"/>
      <c r="B350" s="32"/>
      <c r="C350" s="27"/>
      <c r="D350" s="27"/>
      <c r="E350" s="119"/>
      <c r="F350" s="119"/>
      <c r="G350" s="119"/>
      <c r="H350" s="119"/>
      <c r="I350" s="119"/>
      <c r="J350" s="119"/>
      <c r="K350" s="123"/>
      <c r="L350" s="123"/>
      <c r="M350" s="132"/>
      <c r="N350" s="132"/>
      <c r="O350" s="27"/>
      <c r="P350" s="27"/>
      <c r="Q350" s="132"/>
      <c r="R350" s="132"/>
      <c r="S350" s="124"/>
      <c r="T350" s="27"/>
      <c r="U350" s="27"/>
      <c r="V350" s="27"/>
      <c r="W350" s="27"/>
      <c r="X350" s="27"/>
      <c r="Y350" s="27"/>
      <c r="Z350" s="27"/>
      <c r="AA350" s="27"/>
      <c r="AB350" s="27"/>
      <c r="AC350" s="27"/>
      <c r="AD350" s="123"/>
    </row>
    <row r="351" spans="1:30" s="241" customFormat="1" ht="12.75" customHeight="1" x14ac:dyDescent="0.2">
      <c r="A351" s="132"/>
      <c r="B351" s="32"/>
      <c r="C351" s="27"/>
      <c r="D351" s="27"/>
      <c r="E351" s="119"/>
      <c r="F351" s="119"/>
      <c r="G351" s="119"/>
      <c r="H351" s="119"/>
      <c r="I351" s="119"/>
      <c r="J351" s="119"/>
      <c r="K351" s="123"/>
      <c r="L351" s="123"/>
      <c r="M351" s="132"/>
      <c r="N351" s="132"/>
      <c r="O351" s="27"/>
      <c r="P351" s="27"/>
      <c r="Q351" s="132"/>
      <c r="R351" s="132"/>
      <c r="S351" s="124"/>
      <c r="T351" s="27"/>
      <c r="U351" s="27"/>
      <c r="V351" s="27"/>
      <c r="W351" s="27"/>
      <c r="X351" s="27"/>
      <c r="Y351" s="27"/>
      <c r="Z351" s="27"/>
      <c r="AA351" s="27"/>
      <c r="AB351" s="27"/>
      <c r="AC351" s="27"/>
      <c r="AD351" s="123"/>
    </row>
    <row r="352" spans="1:30" s="241" customFormat="1" ht="12.75" customHeight="1" x14ac:dyDescent="0.2">
      <c r="A352" s="132"/>
      <c r="B352" s="32"/>
      <c r="C352" s="27"/>
      <c r="D352" s="27"/>
      <c r="E352" s="119"/>
      <c r="F352" s="119"/>
      <c r="G352" s="119"/>
      <c r="H352" s="119"/>
      <c r="I352" s="119"/>
      <c r="J352" s="119"/>
      <c r="K352" s="123"/>
      <c r="L352" s="123"/>
      <c r="M352" s="132"/>
      <c r="N352" s="132"/>
      <c r="O352" s="27"/>
      <c r="P352" s="27"/>
      <c r="Q352" s="132"/>
      <c r="R352" s="132"/>
      <c r="S352" s="124"/>
      <c r="T352" s="27"/>
      <c r="U352" s="27"/>
      <c r="V352" s="27"/>
      <c r="W352" s="27"/>
      <c r="X352" s="27"/>
      <c r="Y352" s="27"/>
      <c r="Z352" s="27"/>
      <c r="AA352" s="27"/>
      <c r="AB352" s="27"/>
      <c r="AC352" s="27"/>
      <c r="AD352" s="123"/>
    </row>
    <row r="353" spans="1:30" s="241" customFormat="1" ht="12.75" customHeight="1" x14ac:dyDescent="0.2">
      <c r="A353" s="132"/>
      <c r="B353" s="32"/>
      <c r="C353" s="27"/>
      <c r="D353" s="27"/>
      <c r="E353" s="119"/>
      <c r="F353" s="119"/>
      <c r="G353" s="119"/>
      <c r="H353" s="119"/>
      <c r="I353" s="119"/>
      <c r="J353" s="119"/>
      <c r="K353" s="123"/>
      <c r="L353" s="123"/>
      <c r="M353" s="132"/>
      <c r="N353" s="132"/>
      <c r="O353" s="27"/>
      <c r="P353" s="27"/>
      <c r="Q353" s="132"/>
      <c r="R353" s="132"/>
      <c r="S353" s="124"/>
      <c r="T353" s="27"/>
      <c r="U353" s="27"/>
      <c r="V353" s="27"/>
      <c r="W353" s="27"/>
      <c r="X353" s="27"/>
      <c r="Y353" s="27"/>
      <c r="Z353" s="27"/>
      <c r="AA353" s="27"/>
      <c r="AB353" s="27"/>
      <c r="AC353" s="27"/>
      <c r="AD353" s="123"/>
    </row>
    <row r="354" spans="1:30" s="241" customFormat="1" ht="12.75" customHeight="1" x14ac:dyDescent="0.2">
      <c r="A354" s="132"/>
      <c r="B354" s="32"/>
      <c r="C354" s="27"/>
      <c r="D354" s="27"/>
      <c r="E354" s="119"/>
      <c r="F354" s="119"/>
      <c r="G354" s="119"/>
      <c r="H354" s="119"/>
      <c r="I354" s="119"/>
      <c r="J354" s="119"/>
      <c r="K354" s="123"/>
      <c r="L354" s="123"/>
      <c r="M354" s="132"/>
      <c r="N354" s="132"/>
      <c r="O354" s="27"/>
      <c r="P354" s="27"/>
      <c r="Q354" s="132"/>
      <c r="R354" s="132"/>
      <c r="S354" s="124"/>
      <c r="T354" s="27"/>
      <c r="U354" s="27"/>
      <c r="V354" s="27"/>
      <c r="W354" s="27"/>
      <c r="X354" s="27"/>
      <c r="Y354" s="27"/>
      <c r="Z354" s="27"/>
      <c r="AA354" s="27"/>
      <c r="AB354" s="27"/>
      <c r="AC354" s="27"/>
      <c r="AD354" s="123"/>
    </row>
    <row r="355" spans="1:30" s="241" customFormat="1" ht="12.75" customHeight="1" x14ac:dyDescent="0.2">
      <c r="A355" s="132"/>
      <c r="B355" s="32"/>
      <c r="C355" s="27"/>
      <c r="D355" s="27"/>
      <c r="E355" s="119"/>
      <c r="F355" s="119"/>
      <c r="G355" s="119"/>
      <c r="H355" s="119"/>
      <c r="I355" s="119"/>
      <c r="J355" s="119"/>
      <c r="K355" s="123"/>
      <c r="L355" s="123"/>
      <c r="M355" s="132"/>
      <c r="N355" s="132"/>
      <c r="O355" s="27"/>
      <c r="P355" s="27"/>
      <c r="Q355" s="132"/>
      <c r="R355" s="132"/>
      <c r="S355" s="124"/>
      <c r="T355" s="27"/>
      <c r="U355" s="27"/>
      <c r="V355" s="27"/>
      <c r="W355" s="27"/>
      <c r="X355" s="27"/>
      <c r="Y355" s="27"/>
      <c r="Z355" s="27"/>
      <c r="AA355" s="27"/>
      <c r="AB355" s="27"/>
      <c r="AC355" s="27"/>
      <c r="AD355" s="123"/>
    </row>
    <row r="356" spans="1:30" s="241" customFormat="1" ht="12.75" customHeight="1" x14ac:dyDescent="0.2">
      <c r="A356" s="132"/>
      <c r="B356" s="32"/>
      <c r="C356" s="27"/>
      <c r="D356" s="27"/>
      <c r="E356" s="119"/>
      <c r="F356" s="119"/>
      <c r="G356" s="119"/>
      <c r="H356" s="119"/>
      <c r="I356" s="119"/>
      <c r="J356" s="119"/>
      <c r="K356" s="123"/>
      <c r="L356" s="123"/>
      <c r="M356" s="132"/>
      <c r="N356" s="132"/>
      <c r="O356" s="27"/>
      <c r="P356" s="27"/>
      <c r="Q356" s="132"/>
      <c r="R356" s="132"/>
      <c r="S356" s="124"/>
      <c r="T356" s="27"/>
      <c r="U356" s="27"/>
      <c r="V356" s="27"/>
      <c r="W356" s="27"/>
      <c r="X356" s="27"/>
      <c r="Y356" s="27"/>
      <c r="Z356" s="27"/>
      <c r="AA356" s="27"/>
      <c r="AB356" s="27"/>
      <c r="AC356" s="27"/>
      <c r="AD356" s="123"/>
    </row>
    <row r="357" spans="1:30" s="241" customFormat="1" ht="12.75" customHeight="1" x14ac:dyDescent="0.2">
      <c r="A357" s="132"/>
      <c r="B357" s="32"/>
      <c r="C357" s="27"/>
      <c r="D357" s="27"/>
      <c r="E357" s="119"/>
      <c r="F357" s="119"/>
      <c r="G357" s="119"/>
      <c r="H357" s="119"/>
      <c r="I357" s="119"/>
      <c r="J357" s="119"/>
      <c r="K357" s="123"/>
      <c r="L357" s="123"/>
      <c r="M357" s="132"/>
      <c r="N357" s="132"/>
      <c r="O357" s="27"/>
      <c r="P357" s="27"/>
      <c r="Q357" s="132"/>
      <c r="R357" s="132"/>
      <c r="S357" s="124"/>
      <c r="T357" s="27"/>
      <c r="U357" s="27"/>
      <c r="V357" s="27"/>
      <c r="W357" s="27"/>
      <c r="X357" s="27"/>
      <c r="Y357" s="27"/>
      <c r="Z357" s="27"/>
      <c r="AA357" s="27"/>
      <c r="AB357" s="27"/>
      <c r="AC357" s="27"/>
      <c r="AD357" s="123"/>
    </row>
    <row r="358" spans="1:30" s="241" customFormat="1" ht="12.75" customHeight="1" x14ac:dyDescent="0.2">
      <c r="A358" s="132"/>
      <c r="B358" s="32"/>
      <c r="C358" s="27"/>
      <c r="D358" s="27"/>
      <c r="E358" s="119"/>
      <c r="F358" s="119"/>
      <c r="G358" s="119"/>
      <c r="H358" s="119"/>
      <c r="I358" s="119"/>
      <c r="J358" s="119"/>
      <c r="K358" s="123"/>
      <c r="L358" s="123"/>
      <c r="M358" s="132"/>
      <c r="N358" s="132"/>
      <c r="O358" s="27"/>
      <c r="P358" s="27"/>
      <c r="Q358" s="132"/>
      <c r="R358" s="132"/>
      <c r="S358" s="124"/>
      <c r="T358" s="27"/>
      <c r="U358" s="27"/>
      <c r="V358" s="27"/>
      <c r="W358" s="27"/>
      <c r="X358" s="27"/>
      <c r="Y358" s="27"/>
      <c r="Z358" s="27"/>
      <c r="AA358" s="27"/>
      <c r="AB358" s="27"/>
      <c r="AC358" s="27"/>
      <c r="AD358" s="123"/>
    </row>
    <row r="359" spans="1:30" s="241" customFormat="1" ht="12.75" customHeight="1" x14ac:dyDescent="0.2">
      <c r="A359" s="132"/>
      <c r="B359" s="32"/>
      <c r="C359" s="27"/>
      <c r="D359" s="27"/>
      <c r="E359" s="119"/>
      <c r="F359" s="119"/>
      <c r="G359" s="119"/>
      <c r="H359" s="119"/>
      <c r="I359" s="119"/>
      <c r="J359" s="119"/>
      <c r="K359" s="123"/>
      <c r="L359" s="123"/>
      <c r="M359" s="132"/>
      <c r="N359" s="132"/>
      <c r="O359" s="27"/>
      <c r="P359" s="27"/>
      <c r="Q359" s="132"/>
      <c r="R359" s="132"/>
      <c r="S359" s="124"/>
      <c r="T359" s="27"/>
      <c r="U359" s="27"/>
      <c r="V359" s="27"/>
      <c r="W359" s="27"/>
      <c r="X359" s="27"/>
      <c r="Y359" s="27"/>
      <c r="Z359" s="27"/>
      <c r="AA359" s="27"/>
      <c r="AB359" s="27"/>
      <c r="AC359" s="27"/>
      <c r="AD359" s="123"/>
    </row>
    <row r="360" spans="1:30" s="241" customFormat="1" ht="12.75" customHeight="1" x14ac:dyDescent="0.2">
      <c r="A360" s="132"/>
      <c r="B360" s="32"/>
      <c r="C360" s="27"/>
      <c r="D360" s="27"/>
      <c r="E360" s="119"/>
      <c r="F360" s="119"/>
      <c r="G360" s="119"/>
      <c r="H360" s="119"/>
      <c r="I360" s="119"/>
      <c r="J360" s="119"/>
      <c r="K360" s="123"/>
      <c r="L360" s="123"/>
      <c r="M360" s="132"/>
      <c r="N360" s="132"/>
      <c r="O360" s="27"/>
      <c r="P360" s="27"/>
      <c r="Q360" s="132"/>
      <c r="R360" s="132"/>
      <c r="S360" s="124"/>
      <c r="T360" s="27"/>
      <c r="U360" s="27"/>
      <c r="V360" s="27"/>
      <c r="W360" s="27"/>
      <c r="X360" s="27"/>
      <c r="Y360" s="27"/>
      <c r="Z360" s="27"/>
      <c r="AA360" s="27"/>
      <c r="AB360" s="27"/>
      <c r="AC360" s="27"/>
      <c r="AD360" s="123"/>
    </row>
    <row r="361" spans="1:30" s="241" customFormat="1" ht="12.75" customHeight="1" x14ac:dyDescent="0.2">
      <c r="A361" s="132"/>
      <c r="B361" s="32"/>
      <c r="C361" s="27"/>
      <c r="D361" s="27"/>
      <c r="E361" s="119"/>
      <c r="F361" s="119"/>
      <c r="G361" s="119"/>
      <c r="H361" s="119"/>
      <c r="I361" s="119"/>
      <c r="J361" s="119"/>
      <c r="K361" s="123"/>
      <c r="L361" s="123"/>
      <c r="M361" s="132"/>
      <c r="N361" s="132"/>
      <c r="O361" s="27"/>
      <c r="P361" s="27"/>
      <c r="Q361" s="132"/>
      <c r="R361" s="132"/>
      <c r="S361" s="124"/>
      <c r="T361" s="27"/>
      <c r="U361" s="27"/>
      <c r="V361" s="27"/>
      <c r="W361" s="27"/>
      <c r="X361" s="27"/>
      <c r="Y361" s="27"/>
      <c r="Z361" s="27"/>
      <c r="AA361" s="27"/>
      <c r="AB361" s="27"/>
      <c r="AC361" s="27"/>
      <c r="AD361" s="123"/>
    </row>
    <row r="362" spans="1:30" s="241" customFormat="1" ht="12.75" customHeight="1" x14ac:dyDescent="0.2">
      <c r="A362" s="132"/>
      <c r="B362" s="32"/>
      <c r="C362" s="27"/>
      <c r="D362" s="27"/>
      <c r="E362" s="119"/>
      <c r="F362" s="119"/>
      <c r="G362" s="119"/>
      <c r="H362" s="119"/>
      <c r="I362" s="119"/>
      <c r="J362" s="119"/>
      <c r="K362" s="123"/>
      <c r="L362" s="123"/>
      <c r="M362" s="132"/>
      <c r="N362" s="132"/>
      <c r="O362" s="27"/>
      <c r="P362" s="27"/>
      <c r="Q362" s="132"/>
      <c r="R362" s="132"/>
      <c r="S362" s="124"/>
      <c r="T362" s="27"/>
      <c r="U362" s="27"/>
      <c r="V362" s="27"/>
      <c r="W362" s="27"/>
      <c r="X362" s="27"/>
      <c r="Y362" s="27"/>
      <c r="Z362" s="27"/>
      <c r="AA362" s="27"/>
      <c r="AB362" s="27"/>
      <c r="AC362" s="27"/>
      <c r="AD362" s="123"/>
    </row>
    <row r="363" spans="1:30" s="241" customFormat="1" ht="12.75" customHeight="1" x14ac:dyDescent="0.2">
      <c r="A363" s="132"/>
      <c r="B363" s="32"/>
      <c r="C363" s="27"/>
      <c r="D363" s="27"/>
      <c r="E363" s="119"/>
      <c r="F363" s="119"/>
      <c r="G363" s="119"/>
      <c r="H363" s="119"/>
      <c r="I363" s="119"/>
      <c r="J363" s="119"/>
      <c r="K363" s="123"/>
      <c r="L363" s="123"/>
      <c r="M363" s="132"/>
      <c r="N363" s="132"/>
      <c r="O363" s="27"/>
      <c r="P363" s="27"/>
      <c r="Q363" s="132"/>
      <c r="R363" s="132"/>
      <c r="S363" s="124"/>
      <c r="T363" s="27"/>
      <c r="U363" s="27"/>
      <c r="V363" s="27"/>
      <c r="W363" s="27"/>
      <c r="X363" s="27"/>
      <c r="Y363" s="27"/>
      <c r="Z363" s="27"/>
      <c r="AA363" s="27"/>
      <c r="AB363" s="27"/>
      <c r="AC363" s="27"/>
      <c r="AD363" s="123"/>
    </row>
    <row r="364" spans="1:30" s="241" customFormat="1" ht="12.75" customHeight="1" x14ac:dyDescent="0.2">
      <c r="A364" s="132"/>
      <c r="B364" s="32"/>
      <c r="C364" s="27"/>
      <c r="D364" s="27"/>
      <c r="E364" s="119"/>
      <c r="F364" s="119"/>
      <c r="G364" s="119"/>
      <c r="H364" s="119"/>
      <c r="I364" s="119"/>
      <c r="J364" s="119"/>
      <c r="K364" s="123"/>
      <c r="L364" s="123"/>
      <c r="M364" s="132"/>
      <c r="N364" s="132"/>
      <c r="O364" s="27"/>
      <c r="P364" s="27"/>
      <c r="Q364" s="132"/>
      <c r="R364" s="132"/>
      <c r="S364" s="124"/>
      <c r="T364" s="27"/>
      <c r="U364" s="27"/>
      <c r="V364" s="27"/>
      <c r="W364" s="27"/>
      <c r="X364" s="27"/>
      <c r="Y364" s="27"/>
      <c r="Z364" s="27"/>
      <c r="AA364" s="27"/>
      <c r="AB364" s="27"/>
      <c r="AC364" s="27"/>
      <c r="AD364" s="123"/>
    </row>
    <row r="365" spans="1:30" s="241" customFormat="1" ht="12.75" customHeight="1" x14ac:dyDescent="0.2">
      <c r="A365" s="132"/>
      <c r="B365" s="32"/>
      <c r="C365" s="27"/>
      <c r="D365" s="27"/>
      <c r="E365" s="119"/>
      <c r="F365" s="119"/>
      <c r="G365" s="119"/>
      <c r="H365" s="119"/>
      <c r="I365" s="119"/>
      <c r="J365" s="119"/>
      <c r="K365" s="123"/>
      <c r="L365" s="123"/>
      <c r="M365" s="132"/>
      <c r="N365" s="132"/>
      <c r="O365" s="27"/>
      <c r="P365" s="27"/>
      <c r="Q365" s="132"/>
      <c r="R365" s="132"/>
      <c r="S365" s="124"/>
      <c r="T365" s="27"/>
      <c r="U365" s="27"/>
      <c r="V365" s="27"/>
      <c r="W365" s="27"/>
      <c r="X365" s="27"/>
      <c r="Y365" s="27"/>
      <c r="Z365" s="27"/>
      <c r="AA365" s="27"/>
      <c r="AB365" s="27"/>
      <c r="AC365" s="27"/>
      <c r="AD365" s="123"/>
    </row>
    <row r="366" spans="1:30" s="241" customFormat="1" ht="12.75" customHeight="1" x14ac:dyDescent="0.2">
      <c r="A366" s="132"/>
      <c r="B366" s="32"/>
      <c r="C366" s="27"/>
      <c r="D366" s="27"/>
      <c r="E366" s="119"/>
      <c r="F366" s="119"/>
      <c r="G366" s="119"/>
      <c r="H366" s="119"/>
      <c r="I366" s="119"/>
      <c r="J366" s="119"/>
      <c r="K366" s="123"/>
      <c r="L366" s="123"/>
      <c r="M366" s="132"/>
      <c r="N366" s="132"/>
      <c r="O366" s="27"/>
      <c r="P366" s="27"/>
      <c r="Q366" s="132"/>
      <c r="R366" s="132"/>
      <c r="S366" s="124"/>
      <c r="T366" s="27"/>
      <c r="U366" s="27"/>
      <c r="V366" s="27"/>
      <c r="W366" s="27"/>
      <c r="X366" s="27"/>
      <c r="Y366" s="27"/>
      <c r="Z366" s="27"/>
      <c r="AA366" s="27"/>
      <c r="AB366" s="27"/>
      <c r="AC366" s="27"/>
      <c r="AD366" s="123"/>
    </row>
    <row r="367" spans="1:30" s="241" customFormat="1" ht="12.75" customHeight="1" x14ac:dyDescent="0.2">
      <c r="A367" s="132"/>
      <c r="B367" s="32"/>
      <c r="C367" s="27"/>
      <c r="D367" s="27"/>
      <c r="E367" s="119"/>
      <c r="F367" s="119"/>
      <c r="G367" s="119"/>
      <c r="H367" s="119"/>
      <c r="I367" s="119"/>
      <c r="J367" s="119"/>
      <c r="K367" s="123"/>
      <c r="L367" s="123"/>
      <c r="M367" s="132"/>
      <c r="N367" s="132"/>
      <c r="O367" s="27"/>
      <c r="P367" s="27"/>
      <c r="Q367" s="132"/>
      <c r="R367" s="132"/>
      <c r="S367" s="124"/>
      <c r="T367" s="27"/>
      <c r="U367" s="27"/>
      <c r="V367" s="27"/>
      <c r="W367" s="27"/>
      <c r="X367" s="27"/>
      <c r="Y367" s="27"/>
      <c r="Z367" s="27"/>
      <c r="AA367" s="27"/>
      <c r="AB367" s="27"/>
      <c r="AC367" s="27"/>
      <c r="AD367" s="123"/>
    </row>
    <row r="368" spans="1:30" s="241" customFormat="1" ht="12.75" customHeight="1" x14ac:dyDescent="0.2">
      <c r="A368" s="132"/>
      <c r="B368" s="32"/>
      <c r="C368" s="27"/>
      <c r="D368" s="27"/>
      <c r="E368" s="119"/>
      <c r="F368" s="119"/>
      <c r="G368" s="119"/>
      <c r="H368" s="119"/>
      <c r="I368" s="119"/>
      <c r="J368" s="119"/>
      <c r="K368" s="123"/>
      <c r="L368" s="123"/>
      <c r="M368" s="132"/>
      <c r="N368" s="132"/>
      <c r="O368" s="27"/>
      <c r="P368" s="27"/>
      <c r="Q368" s="132"/>
      <c r="R368" s="132"/>
      <c r="S368" s="124"/>
      <c r="T368" s="27"/>
      <c r="U368" s="27"/>
      <c r="V368" s="27"/>
      <c r="W368" s="27"/>
      <c r="X368" s="27"/>
      <c r="Y368" s="27"/>
      <c r="Z368" s="27"/>
      <c r="AA368" s="27"/>
      <c r="AB368" s="27"/>
      <c r="AC368" s="27"/>
      <c r="AD368" s="123"/>
    </row>
    <row r="369" spans="1:30" s="241" customFormat="1" ht="12.75" customHeight="1" x14ac:dyDescent="0.2">
      <c r="A369" s="132"/>
      <c r="B369" s="32"/>
      <c r="C369" s="27"/>
      <c r="D369" s="27"/>
      <c r="E369" s="119"/>
      <c r="F369" s="119"/>
      <c r="G369" s="119"/>
      <c r="H369" s="119"/>
      <c r="I369" s="119"/>
      <c r="J369" s="119"/>
      <c r="K369" s="123"/>
      <c r="L369" s="123"/>
      <c r="M369" s="132"/>
      <c r="N369" s="132"/>
      <c r="O369" s="27"/>
      <c r="P369" s="27"/>
      <c r="Q369" s="132"/>
      <c r="R369" s="132"/>
      <c r="S369" s="124"/>
      <c r="T369" s="27"/>
      <c r="U369" s="27"/>
      <c r="V369" s="27"/>
      <c r="W369" s="27"/>
      <c r="X369" s="27"/>
      <c r="Y369" s="27"/>
      <c r="Z369" s="27"/>
      <c r="AA369" s="27"/>
      <c r="AB369" s="27"/>
      <c r="AC369" s="27"/>
      <c r="AD369" s="123"/>
    </row>
    <row r="370" spans="1:30" s="241" customFormat="1" ht="12.75" customHeight="1" x14ac:dyDescent="0.2">
      <c r="A370" s="132"/>
      <c r="B370" s="32"/>
      <c r="C370" s="27"/>
      <c r="D370" s="27"/>
      <c r="E370" s="119"/>
      <c r="F370" s="119"/>
      <c r="G370" s="119"/>
      <c r="H370" s="119"/>
      <c r="I370" s="119"/>
      <c r="J370" s="119"/>
      <c r="K370" s="123"/>
      <c r="L370" s="123"/>
      <c r="M370" s="132"/>
      <c r="N370" s="132"/>
      <c r="O370" s="27"/>
      <c r="P370" s="27"/>
      <c r="Q370" s="132"/>
      <c r="R370" s="132"/>
      <c r="S370" s="124"/>
      <c r="T370" s="27"/>
      <c r="U370" s="27"/>
      <c r="V370" s="27"/>
      <c r="W370" s="27"/>
      <c r="X370" s="27"/>
      <c r="Y370" s="27"/>
      <c r="Z370" s="27"/>
      <c r="AA370" s="27"/>
      <c r="AB370" s="27"/>
      <c r="AC370" s="27"/>
      <c r="AD370" s="123"/>
    </row>
    <row r="371" spans="1:30" s="241" customFormat="1" ht="12.75" customHeight="1" x14ac:dyDescent="0.2">
      <c r="A371" s="132"/>
      <c r="B371" s="32"/>
      <c r="C371" s="27"/>
      <c r="D371" s="27"/>
      <c r="E371" s="119"/>
      <c r="F371" s="119"/>
      <c r="G371" s="119"/>
      <c r="H371" s="119"/>
      <c r="I371" s="119"/>
      <c r="J371" s="119"/>
      <c r="K371" s="123"/>
      <c r="L371" s="123"/>
      <c r="M371" s="132"/>
      <c r="N371" s="132"/>
      <c r="O371" s="27"/>
      <c r="P371" s="27"/>
      <c r="Q371" s="132"/>
      <c r="R371" s="132"/>
      <c r="S371" s="124"/>
      <c r="T371" s="27"/>
      <c r="U371" s="27"/>
      <c r="V371" s="27"/>
      <c r="W371" s="27"/>
      <c r="X371" s="27"/>
      <c r="Y371" s="27"/>
      <c r="Z371" s="27"/>
      <c r="AA371" s="27"/>
      <c r="AB371" s="27"/>
      <c r="AC371" s="27"/>
      <c r="AD371" s="123"/>
    </row>
    <row r="372" spans="1:30" s="241" customFormat="1" ht="12.75" customHeight="1" x14ac:dyDescent="0.2">
      <c r="A372" s="132"/>
      <c r="B372" s="32"/>
      <c r="C372" s="27"/>
      <c r="D372" s="27"/>
      <c r="E372" s="119"/>
      <c r="F372" s="119"/>
      <c r="G372" s="119"/>
      <c r="H372" s="119"/>
      <c r="I372" s="119"/>
      <c r="J372" s="119"/>
      <c r="K372" s="123"/>
      <c r="L372" s="123"/>
      <c r="M372" s="132"/>
      <c r="N372" s="132"/>
      <c r="O372" s="27"/>
      <c r="P372" s="27"/>
      <c r="Q372" s="132"/>
      <c r="R372" s="132"/>
      <c r="S372" s="124"/>
      <c r="T372" s="27"/>
      <c r="U372" s="27"/>
      <c r="V372" s="27"/>
      <c r="W372" s="27"/>
      <c r="X372" s="27"/>
      <c r="Y372" s="27"/>
      <c r="Z372" s="27"/>
      <c r="AA372" s="27"/>
      <c r="AB372" s="27"/>
      <c r="AC372" s="27"/>
      <c r="AD372" s="123"/>
    </row>
    <row r="373" spans="1:30" s="241" customFormat="1" ht="12.75" customHeight="1" x14ac:dyDescent="0.2">
      <c r="A373" s="132"/>
      <c r="B373" s="32"/>
      <c r="C373" s="27"/>
      <c r="D373" s="27"/>
      <c r="E373" s="119"/>
      <c r="F373" s="119"/>
      <c r="G373" s="119"/>
      <c r="H373" s="119"/>
      <c r="I373" s="119"/>
      <c r="J373" s="119"/>
      <c r="K373" s="123"/>
      <c r="L373" s="123"/>
      <c r="M373" s="132"/>
      <c r="N373" s="132"/>
      <c r="O373" s="27"/>
      <c r="P373" s="27"/>
      <c r="Q373" s="132"/>
      <c r="R373" s="132"/>
      <c r="S373" s="124"/>
      <c r="T373" s="27"/>
      <c r="U373" s="27"/>
      <c r="V373" s="27"/>
      <c r="W373" s="27"/>
      <c r="X373" s="27"/>
      <c r="Y373" s="27"/>
      <c r="Z373" s="27"/>
      <c r="AA373" s="27"/>
      <c r="AB373" s="27"/>
      <c r="AC373" s="27"/>
      <c r="AD373" s="123"/>
    </row>
    <row r="374" spans="1:30" s="241" customFormat="1" ht="12.75" customHeight="1" x14ac:dyDescent="0.2">
      <c r="A374" s="132"/>
      <c r="B374" s="32"/>
      <c r="C374" s="27"/>
      <c r="D374" s="27"/>
      <c r="E374" s="119"/>
      <c r="F374" s="119"/>
      <c r="G374" s="119"/>
      <c r="H374" s="119"/>
      <c r="I374" s="119"/>
      <c r="J374" s="119"/>
      <c r="K374" s="123"/>
      <c r="L374" s="123"/>
      <c r="M374" s="132"/>
      <c r="N374" s="132"/>
      <c r="O374" s="27"/>
      <c r="P374" s="27"/>
      <c r="Q374" s="132"/>
      <c r="R374" s="132"/>
      <c r="S374" s="124"/>
      <c r="T374" s="27"/>
      <c r="U374" s="27"/>
      <c r="V374" s="27"/>
      <c r="W374" s="27"/>
      <c r="X374" s="27"/>
      <c r="Y374" s="27"/>
      <c r="Z374" s="27"/>
      <c r="AA374" s="27"/>
      <c r="AB374" s="27"/>
      <c r="AC374" s="27"/>
      <c r="AD374" s="123"/>
    </row>
    <row r="375" spans="1:30" s="241" customFormat="1" ht="12.75" customHeight="1" x14ac:dyDescent="0.2">
      <c r="A375" s="132"/>
      <c r="B375" s="32"/>
      <c r="C375" s="27"/>
      <c r="D375" s="27"/>
      <c r="E375" s="119"/>
      <c r="F375" s="119"/>
      <c r="G375" s="119"/>
      <c r="H375" s="119"/>
      <c r="I375" s="119"/>
      <c r="J375" s="119"/>
      <c r="K375" s="123"/>
      <c r="L375" s="123"/>
      <c r="M375" s="132"/>
      <c r="N375" s="132"/>
      <c r="O375" s="27"/>
      <c r="P375" s="27"/>
      <c r="Q375" s="132"/>
      <c r="R375" s="132"/>
      <c r="S375" s="124"/>
      <c r="T375" s="27"/>
      <c r="U375" s="27"/>
      <c r="V375" s="27"/>
      <c r="W375" s="27"/>
      <c r="X375" s="27"/>
      <c r="Y375" s="27"/>
      <c r="Z375" s="27"/>
      <c r="AA375" s="27"/>
      <c r="AB375" s="27"/>
      <c r="AC375" s="27"/>
      <c r="AD375" s="123"/>
    </row>
    <row r="376" spans="1:30" s="241" customFormat="1" ht="12.75" customHeight="1" x14ac:dyDescent="0.2">
      <c r="A376" s="132"/>
      <c r="B376" s="32"/>
      <c r="C376" s="27"/>
      <c r="D376" s="27"/>
      <c r="E376" s="119"/>
      <c r="F376" s="119"/>
      <c r="G376" s="119"/>
      <c r="H376" s="119"/>
      <c r="I376" s="119"/>
      <c r="J376" s="119"/>
      <c r="K376" s="123"/>
      <c r="L376" s="123"/>
      <c r="M376" s="132"/>
      <c r="N376" s="132"/>
      <c r="O376" s="27"/>
      <c r="P376" s="27"/>
      <c r="Q376" s="132"/>
      <c r="R376" s="132"/>
      <c r="S376" s="124"/>
      <c r="T376" s="27"/>
      <c r="U376" s="27"/>
      <c r="V376" s="27"/>
      <c r="W376" s="27"/>
      <c r="X376" s="27"/>
      <c r="Y376" s="27"/>
      <c r="Z376" s="27"/>
      <c r="AA376" s="27"/>
      <c r="AB376" s="27"/>
      <c r="AC376" s="27"/>
      <c r="AD376" s="123"/>
    </row>
    <row r="377" spans="1:30" s="241" customFormat="1" ht="12.75" customHeight="1" x14ac:dyDescent="0.2">
      <c r="A377" s="132"/>
      <c r="B377" s="32"/>
      <c r="C377" s="27"/>
      <c r="D377" s="27"/>
      <c r="E377" s="119"/>
      <c r="F377" s="119"/>
      <c r="G377" s="119"/>
      <c r="H377" s="119"/>
      <c r="I377" s="119"/>
      <c r="J377" s="119"/>
      <c r="K377" s="123"/>
      <c r="L377" s="123"/>
      <c r="M377" s="132"/>
      <c r="N377" s="132"/>
      <c r="O377" s="27"/>
      <c r="P377" s="27"/>
      <c r="Q377" s="132"/>
      <c r="R377" s="132"/>
      <c r="S377" s="124"/>
      <c r="T377" s="27"/>
      <c r="U377" s="27"/>
      <c r="V377" s="27"/>
      <c r="W377" s="27"/>
      <c r="X377" s="27"/>
      <c r="Y377" s="27"/>
      <c r="Z377" s="27"/>
      <c r="AA377" s="27"/>
      <c r="AB377" s="27"/>
      <c r="AC377" s="27"/>
      <c r="AD377" s="123"/>
    </row>
    <row r="378" spans="1:30" s="241" customFormat="1" ht="12.75" customHeight="1" x14ac:dyDescent="0.2">
      <c r="A378" s="132"/>
      <c r="B378" s="32"/>
      <c r="C378" s="27"/>
      <c r="D378" s="27"/>
      <c r="E378" s="119"/>
      <c r="F378" s="119"/>
      <c r="G378" s="119"/>
      <c r="H378" s="119"/>
      <c r="I378" s="119"/>
      <c r="J378" s="119"/>
      <c r="K378" s="123"/>
      <c r="L378" s="123"/>
      <c r="M378" s="132"/>
      <c r="N378" s="132"/>
      <c r="O378" s="27"/>
      <c r="P378" s="27"/>
      <c r="Q378" s="132"/>
      <c r="R378" s="132"/>
      <c r="S378" s="124"/>
      <c r="T378" s="27"/>
      <c r="U378" s="27"/>
      <c r="V378" s="27"/>
      <c r="W378" s="27"/>
      <c r="X378" s="27"/>
      <c r="Y378" s="27"/>
      <c r="Z378" s="27"/>
      <c r="AA378" s="27"/>
      <c r="AB378" s="27"/>
      <c r="AC378" s="27"/>
      <c r="AD378" s="123"/>
    </row>
    <row r="379" spans="1:30" s="241" customFormat="1" ht="12.75" customHeight="1" x14ac:dyDescent="0.2">
      <c r="A379" s="132"/>
      <c r="B379" s="32"/>
      <c r="C379" s="27"/>
      <c r="D379" s="27"/>
      <c r="E379" s="119"/>
      <c r="F379" s="119"/>
      <c r="G379" s="119"/>
      <c r="H379" s="119"/>
      <c r="I379" s="119"/>
      <c r="J379" s="119"/>
      <c r="K379" s="123"/>
      <c r="L379" s="123"/>
      <c r="M379" s="132"/>
      <c r="N379" s="132"/>
      <c r="O379" s="27"/>
      <c r="P379" s="27"/>
      <c r="Q379" s="132"/>
      <c r="R379" s="132"/>
      <c r="S379" s="124"/>
      <c r="T379" s="27"/>
      <c r="U379" s="27"/>
      <c r="V379" s="27"/>
      <c r="W379" s="27"/>
      <c r="X379" s="27"/>
      <c r="Y379" s="27"/>
      <c r="Z379" s="27"/>
      <c r="AA379" s="27"/>
      <c r="AB379" s="27"/>
      <c r="AC379" s="27"/>
      <c r="AD379" s="123"/>
    </row>
    <row r="380" spans="1:30" s="241" customFormat="1" ht="12.75" customHeight="1" x14ac:dyDescent="0.2">
      <c r="A380" s="132"/>
      <c r="B380" s="32"/>
      <c r="C380" s="27"/>
      <c r="D380" s="27"/>
      <c r="E380" s="119"/>
      <c r="F380" s="119"/>
      <c r="G380" s="119"/>
      <c r="H380" s="119"/>
      <c r="I380" s="119"/>
      <c r="J380" s="119"/>
      <c r="K380" s="123"/>
      <c r="L380" s="123"/>
      <c r="M380" s="132"/>
      <c r="N380" s="132"/>
      <c r="O380" s="27"/>
      <c r="P380" s="27"/>
      <c r="Q380" s="132"/>
      <c r="R380" s="132"/>
      <c r="S380" s="124"/>
      <c r="T380" s="27"/>
      <c r="U380" s="27"/>
      <c r="V380" s="27"/>
      <c r="W380" s="27"/>
      <c r="X380" s="27"/>
      <c r="Y380" s="27"/>
      <c r="Z380" s="27"/>
      <c r="AA380" s="27"/>
      <c r="AB380" s="27"/>
      <c r="AC380" s="27"/>
      <c r="AD380" s="123"/>
    </row>
    <row r="381" spans="1:30" s="241" customFormat="1" ht="12.75" customHeight="1" x14ac:dyDescent="0.2">
      <c r="A381" s="132"/>
      <c r="B381" s="32"/>
      <c r="C381" s="27"/>
      <c r="D381" s="27"/>
      <c r="E381" s="119"/>
      <c r="F381" s="119"/>
      <c r="G381" s="119"/>
      <c r="H381" s="119"/>
      <c r="I381" s="119"/>
      <c r="J381" s="119"/>
      <c r="K381" s="123"/>
      <c r="L381" s="123"/>
      <c r="M381" s="132"/>
      <c r="N381" s="132"/>
      <c r="O381" s="27"/>
      <c r="P381" s="27"/>
      <c r="Q381" s="132"/>
      <c r="R381" s="132"/>
      <c r="S381" s="124"/>
      <c r="T381" s="27"/>
      <c r="U381" s="27"/>
      <c r="V381" s="27"/>
      <c r="W381" s="27"/>
      <c r="X381" s="27"/>
      <c r="Y381" s="27"/>
      <c r="Z381" s="27"/>
      <c r="AA381" s="27"/>
      <c r="AB381" s="27"/>
      <c r="AC381" s="27"/>
      <c r="AD381" s="123"/>
    </row>
    <row r="382" spans="1:30" s="241" customFormat="1" ht="12.75" customHeight="1" x14ac:dyDescent="0.2">
      <c r="A382" s="132"/>
      <c r="B382" s="32"/>
      <c r="C382" s="27"/>
      <c r="D382" s="27"/>
      <c r="E382" s="119"/>
      <c r="F382" s="119"/>
      <c r="G382" s="119"/>
      <c r="H382" s="119"/>
      <c r="I382" s="119"/>
      <c r="J382" s="119"/>
      <c r="K382" s="123"/>
      <c r="L382" s="123"/>
      <c r="M382" s="132"/>
      <c r="N382" s="132"/>
      <c r="O382" s="27"/>
      <c r="P382" s="27"/>
      <c r="Q382" s="132"/>
      <c r="R382" s="132"/>
      <c r="S382" s="124"/>
      <c r="T382" s="27"/>
      <c r="U382" s="27"/>
      <c r="V382" s="27"/>
      <c r="W382" s="27"/>
      <c r="X382" s="27"/>
      <c r="Y382" s="27"/>
      <c r="Z382" s="27"/>
      <c r="AA382" s="27"/>
      <c r="AB382" s="27"/>
      <c r="AC382" s="27"/>
      <c r="AD382" s="123"/>
    </row>
    <row r="383" spans="1:30" s="241" customFormat="1" ht="12.75" customHeight="1" x14ac:dyDescent="0.2">
      <c r="A383" s="132"/>
      <c r="B383" s="32"/>
      <c r="C383" s="27"/>
      <c r="D383" s="27"/>
      <c r="E383" s="119"/>
      <c r="F383" s="119"/>
      <c r="G383" s="119"/>
      <c r="H383" s="119"/>
      <c r="I383" s="119"/>
      <c r="J383" s="119"/>
      <c r="K383" s="123"/>
      <c r="L383" s="123"/>
      <c r="M383" s="132"/>
      <c r="N383" s="132"/>
      <c r="O383" s="27"/>
      <c r="P383" s="27"/>
      <c r="Q383" s="132"/>
      <c r="R383" s="132"/>
      <c r="S383" s="124"/>
      <c r="T383" s="27"/>
      <c r="U383" s="27"/>
      <c r="V383" s="27"/>
      <c r="W383" s="27"/>
      <c r="X383" s="27"/>
      <c r="Y383" s="27"/>
      <c r="Z383" s="27"/>
      <c r="AA383" s="27"/>
      <c r="AB383" s="27"/>
      <c r="AC383" s="27"/>
      <c r="AD383" s="123"/>
    </row>
    <row r="384" spans="1:30" s="241" customFormat="1" ht="12.75" customHeight="1" x14ac:dyDescent="0.2">
      <c r="A384" s="132"/>
      <c r="B384" s="32"/>
      <c r="C384" s="27"/>
      <c r="D384" s="27"/>
      <c r="E384" s="119"/>
      <c r="F384" s="119"/>
      <c r="G384" s="119"/>
      <c r="H384" s="119"/>
      <c r="I384" s="119"/>
      <c r="J384" s="119"/>
      <c r="K384" s="123"/>
      <c r="L384" s="123"/>
      <c r="M384" s="132"/>
      <c r="N384" s="132"/>
      <c r="O384" s="27"/>
      <c r="P384" s="27"/>
      <c r="Q384" s="132"/>
      <c r="R384" s="132"/>
      <c r="S384" s="124"/>
      <c r="T384" s="27"/>
      <c r="U384" s="27"/>
      <c r="V384" s="27"/>
      <c r="W384" s="27"/>
      <c r="X384" s="27"/>
      <c r="Y384" s="27"/>
      <c r="Z384" s="27"/>
      <c r="AA384" s="27"/>
      <c r="AB384" s="27"/>
      <c r="AC384" s="27"/>
      <c r="AD384" s="123"/>
    </row>
    <row r="385" spans="1:30" s="241" customFormat="1" ht="12.75" customHeight="1" x14ac:dyDescent="0.2">
      <c r="A385" s="132"/>
      <c r="B385" s="32"/>
      <c r="C385" s="27"/>
      <c r="D385" s="27"/>
      <c r="E385" s="119"/>
      <c r="F385" s="119"/>
      <c r="G385" s="119"/>
      <c r="H385" s="119"/>
      <c r="I385" s="119"/>
      <c r="J385" s="119"/>
      <c r="K385" s="123"/>
      <c r="L385" s="123"/>
      <c r="M385" s="132"/>
      <c r="N385" s="132"/>
      <c r="O385" s="27"/>
      <c r="P385" s="27"/>
      <c r="Q385" s="132"/>
      <c r="R385" s="132"/>
      <c r="S385" s="124"/>
      <c r="T385" s="27"/>
      <c r="U385" s="27"/>
      <c r="V385" s="27"/>
      <c r="W385" s="27"/>
      <c r="X385" s="27"/>
      <c r="Y385" s="27"/>
      <c r="Z385" s="27"/>
      <c r="AA385" s="27"/>
      <c r="AB385" s="27"/>
      <c r="AC385" s="27"/>
      <c r="AD385" s="123"/>
    </row>
    <row r="386" spans="1:30" s="241" customFormat="1" ht="12.75" customHeight="1" x14ac:dyDescent="0.2">
      <c r="A386" s="132"/>
      <c r="B386" s="32"/>
      <c r="C386" s="27"/>
      <c r="D386" s="27"/>
      <c r="E386" s="119"/>
      <c r="F386" s="119"/>
      <c r="G386" s="119"/>
      <c r="H386" s="119"/>
      <c r="I386" s="119"/>
      <c r="J386" s="119"/>
      <c r="K386" s="123"/>
      <c r="L386" s="123"/>
      <c r="M386" s="132"/>
      <c r="N386" s="132"/>
      <c r="O386" s="27"/>
      <c r="P386" s="27"/>
      <c r="Q386" s="132"/>
      <c r="R386" s="132"/>
      <c r="S386" s="124"/>
      <c r="T386" s="27"/>
      <c r="U386" s="27"/>
      <c r="V386" s="27"/>
      <c r="W386" s="27"/>
      <c r="X386" s="27"/>
      <c r="Y386" s="27"/>
      <c r="Z386" s="27"/>
      <c r="AA386" s="27"/>
      <c r="AB386" s="27"/>
      <c r="AC386" s="27"/>
      <c r="AD386" s="123"/>
    </row>
    <row r="387" spans="1:30" s="241" customFormat="1" ht="12.75" customHeight="1" x14ac:dyDescent="0.2">
      <c r="A387" s="132"/>
      <c r="B387" s="32"/>
      <c r="C387" s="27"/>
      <c r="D387" s="27"/>
      <c r="E387" s="119"/>
      <c r="F387" s="119"/>
      <c r="G387" s="119"/>
      <c r="H387" s="119"/>
      <c r="I387" s="119"/>
      <c r="J387" s="119"/>
      <c r="K387" s="123"/>
      <c r="L387" s="123"/>
      <c r="M387" s="132"/>
      <c r="N387" s="132"/>
      <c r="O387" s="27"/>
      <c r="P387" s="27"/>
      <c r="Q387" s="132"/>
      <c r="R387" s="132"/>
      <c r="S387" s="124"/>
      <c r="T387" s="27"/>
      <c r="U387" s="27"/>
      <c r="V387" s="27"/>
      <c r="W387" s="27"/>
      <c r="X387" s="27"/>
      <c r="Y387" s="27"/>
      <c r="Z387" s="27"/>
      <c r="AA387" s="27"/>
      <c r="AB387" s="27"/>
      <c r="AC387" s="27"/>
      <c r="AD387" s="123"/>
    </row>
    <row r="388" spans="1:30" s="241" customFormat="1" ht="12.75" customHeight="1" x14ac:dyDescent="0.2">
      <c r="A388" s="132"/>
      <c r="B388" s="32"/>
      <c r="C388" s="27"/>
      <c r="D388" s="27"/>
      <c r="E388" s="119"/>
      <c r="F388" s="119"/>
      <c r="G388" s="119"/>
      <c r="H388" s="119"/>
      <c r="I388" s="119"/>
      <c r="J388" s="119"/>
      <c r="K388" s="123"/>
      <c r="L388" s="123"/>
      <c r="M388" s="132"/>
      <c r="N388" s="132"/>
      <c r="O388" s="27"/>
      <c r="P388" s="27"/>
      <c r="Q388" s="132"/>
      <c r="R388" s="132"/>
      <c r="S388" s="124"/>
      <c r="T388" s="27"/>
      <c r="U388" s="27"/>
      <c r="V388" s="27"/>
      <c r="W388" s="27"/>
      <c r="X388" s="27"/>
      <c r="Y388" s="27"/>
      <c r="Z388" s="27"/>
      <c r="AA388" s="27"/>
      <c r="AB388" s="27"/>
      <c r="AC388" s="27"/>
      <c r="AD388" s="123"/>
    </row>
    <row r="389" spans="1:30" s="241" customFormat="1" ht="12.75" customHeight="1" x14ac:dyDescent="0.2">
      <c r="A389" s="132"/>
      <c r="B389" s="32"/>
      <c r="C389" s="27"/>
      <c r="D389" s="27"/>
      <c r="E389" s="119"/>
      <c r="F389" s="119"/>
      <c r="G389" s="119"/>
      <c r="H389" s="119"/>
      <c r="I389" s="119"/>
      <c r="J389" s="119"/>
      <c r="K389" s="123"/>
      <c r="L389" s="123"/>
      <c r="M389" s="132"/>
      <c r="N389" s="132"/>
      <c r="O389" s="27"/>
      <c r="P389" s="27"/>
      <c r="Q389" s="132"/>
      <c r="R389" s="132"/>
      <c r="S389" s="124"/>
      <c r="T389" s="27"/>
      <c r="U389" s="27"/>
      <c r="V389" s="27"/>
      <c r="W389" s="27"/>
      <c r="X389" s="27"/>
      <c r="Y389" s="27"/>
      <c r="Z389" s="27"/>
      <c r="AA389" s="27"/>
      <c r="AB389" s="27"/>
      <c r="AC389" s="27"/>
      <c r="AD389" s="123"/>
    </row>
    <row r="390" spans="1:30" s="241" customFormat="1" ht="12.75" customHeight="1" x14ac:dyDescent="0.2">
      <c r="A390" s="132"/>
      <c r="B390" s="32"/>
      <c r="C390" s="27"/>
      <c r="D390" s="27"/>
      <c r="E390" s="119"/>
      <c r="F390" s="119"/>
      <c r="G390" s="119"/>
      <c r="H390" s="119"/>
      <c r="I390" s="119"/>
      <c r="J390" s="119"/>
      <c r="K390" s="123"/>
      <c r="L390" s="123"/>
      <c r="M390" s="132"/>
      <c r="N390" s="132"/>
      <c r="O390" s="27"/>
      <c r="P390" s="27"/>
      <c r="Q390" s="132"/>
      <c r="R390" s="132"/>
      <c r="S390" s="124"/>
      <c r="T390" s="27"/>
      <c r="U390" s="27"/>
      <c r="V390" s="27"/>
      <c r="W390" s="27"/>
      <c r="X390" s="27"/>
      <c r="Y390" s="27"/>
      <c r="Z390" s="27"/>
      <c r="AA390" s="27"/>
      <c r="AB390" s="27"/>
      <c r="AC390" s="27"/>
      <c r="AD390" s="123"/>
    </row>
    <row r="391" spans="1:30" s="241" customFormat="1" ht="12.75" customHeight="1" x14ac:dyDescent="0.2">
      <c r="A391" s="132"/>
      <c r="B391" s="32"/>
      <c r="C391" s="27"/>
      <c r="D391" s="27"/>
      <c r="E391" s="119"/>
      <c r="F391" s="119"/>
      <c r="G391" s="119"/>
      <c r="H391" s="119"/>
      <c r="I391" s="119"/>
      <c r="J391" s="119"/>
      <c r="K391" s="123"/>
      <c r="L391" s="123"/>
      <c r="M391" s="132"/>
      <c r="N391" s="132"/>
      <c r="O391" s="27"/>
      <c r="P391" s="27"/>
      <c r="Q391" s="132"/>
      <c r="R391" s="132"/>
      <c r="S391" s="124"/>
      <c r="T391" s="27"/>
      <c r="U391" s="27"/>
      <c r="V391" s="27"/>
      <c r="W391" s="27"/>
      <c r="X391" s="27"/>
      <c r="Y391" s="27"/>
      <c r="Z391" s="27"/>
      <c r="AA391" s="27"/>
      <c r="AB391" s="27"/>
      <c r="AC391" s="27"/>
      <c r="AD391" s="123"/>
    </row>
    <row r="392" spans="1:30" s="241" customFormat="1" ht="12.75" customHeight="1" x14ac:dyDescent="0.2">
      <c r="A392" s="132"/>
      <c r="B392" s="32"/>
      <c r="C392" s="27"/>
      <c r="D392" s="27"/>
      <c r="E392" s="119"/>
      <c r="F392" s="119"/>
      <c r="G392" s="119"/>
      <c r="H392" s="119"/>
      <c r="I392" s="119"/>
      <c r="J392" s="119"/>
      <c r="K392" s="123"/>
      <c r="L392" s="123"/>
      <c r="M392" s="132"/>
      <c r="N392" s="132"/>
      <c r="O392" s="27"/>
      <c r="P392" s="27"/>
      <c r="Q392" s="132"/>
      <c r="R392" s="132"/>
      <c r="S392" s="124"/>
      <c r="T392" s="27"/>
      <c r="U392" s="27"/>
      <c r="V392" s="27"/>
      <c r="W392" s="27"/>
      <c r="X392" s="27"/>
      <c r="Y392" s="27"/>
      <c r="Z392" s="27"/>
      <c r="AA392" s="27"/>
      <c r="AB392" s="27"/>
      <c r="AC392" s="27"/>
      <c r="AD392" s="123"/>
    </row>
    <row r="393" spans="1:30" s="241" customFormat="1" ht="12.75" customHeight="1" x14ac:dyDescent="0.2">
      <c r="A393" s="132"/>
      <c r="B393" s="32"/>
      <c r="C393" s="27"/>
      <c r="D393" s="27"/>
      <c r="E393" s="119"/>
      <c r="F393" s="119"/>
      <c r="G393" s="119"/>
      <c r="H393" s="119"/>
      <c r="I393" s="119"/>
      <c r="J393" s="119"/>
      <c r="K393" s="123"/>
      <c r="L393" s="123"/>
      <c r="M393" s="132"/>
      <c r="N393" s="132"/>
      <c r="O393" s="27"/>
      <c r="P393" s="27"/>
      <c r="Q393" s="132"/>
      <c r="R393" s="132"/>
      <c r="S393" s="124"/>
      <c r="T393" s="27"/>
      <c r="U393" s="27"/>
      <c r="V393" s="27"/>
      <c r="W393" s="27"/>
      <c r="X393" s="27"/>
      <c r="Y393" s="27"/>
      <c r="Z393" s="27"/>
      <c r="AA393" s="27"/>
      <c r="AB393" s="27"/>
      <c r="AC393" s="27"/>
      <c r="AD393" s="123"/>
    </row>
    <row r="394" spans="1:30" s="241" customFormat="1" ht="12.75" customHeight="1" x14ac:dyDescent="0.2">
      <c r="A394" s="132"/>
      <c r="B394" s="32"/>
      <c r="C394" s="27"/>
      <c r="D394" s="27"/>
      <c r="E394" s="119"/>
      <c r="F394" s="119"/>
      <c r="G394" s="119"/>
      <c r="H394" s="119"/>
      <c r="I394" s="119"/>
      <c r="J394" s="119"/>
      <c r="K394" s="123"/>
      <c r="L394" s="123"/>
      <c r="M394" s="132"/>
      <c r="N394" s="132"/>
      <c r="O394" s="27"/>
      <c r="P394" s="27"/>
      <c r="Q394" s="132"/>
      <c r="R394" s="132"/>
      <c r="S394" s="124"/>
      <c r="T394" s="27"/>
      <c r="U394" s="27"/>
      <c r="V394" s="27"/>
      <c r="W394" s="27"/>
      <c r="X394" s="27"/>
      <c r="Y394" s="27"/>
      <c r="Z394" s="27"/>
      <c r="AA394" s="27"/>
      <c r="AB394" s="27"/>
      <c r="AC394" s="27"/>
      <c r="AD394" s="123"/>
    </row>
    <row r="395" spans="1:30" s="241" customFormat="1" ht="12.75" customHeight="1" x14ac:dyDescent="0.2">
      <c r="A395" s="132"/>
      <c r="B395" s="32"/>
      <c r="C395" s="27"/>
      <c r="D395" s="27"/>
      <c r="E395" s="119"/>
      <c r="F395" s="119"/>
      <c r="G395" s="119"/>
      <c r="H395" s="119"/>
      <c r="I395" s="119"/>
      <c r="J395" s="119"/>
      <c r="K395" s="123"/>
      <c r="L395" s="123"/>
      <c r="M395" s="132"/>
      <c r="N395" s="132"/>
      <c r="O395" s="27"/>
      <c r="P395" s="27"/>
      <c r="Q395" s="132"/>
      <c r="R395" s="132"/>
      <c r="S395" s="124"/>
      <c r="T395" s="27"/>
      <c r="U395" s="27"/>
      <c r="V395" s="27"/>
      <c r="W395" s="27"/>
      <c r="X395" s="27"/>
      <c r="Y395" s="27"/>
      <c r="Z395" s="27"/>
      <c r="AA395" s="27"/>
      <c r="AB395" s="27"/>
      <c r="AC395" s="27"/>
      <c r="AD395" s="123"/>
    </row>
    <row r="396" spans="1:30" s="241" customFormat="1" ht="12.75" customHeight="1" x14ac:dyDescent="0.2">
      <c r="A396" s="132"/>
      <c r="B396" s="32"/>
      <c r="C396" s="27"/>
      <c r="D396" s="27"/>
      <c r="E396" s="119"/>
      <c r="F396" s="119"/>
      <c r="G396" s="119"/>
      <c r="H396" s="119"/>
      <c r="I396" s="119"/>
      <c r="J396" s="119"/>
      <c r="K396" s="123"/>
      <c r="L396" s="123"/>
      <c r="M396" s="132"/>
      <c r="N396" s="132"/>
      <c r="O396" s="27"/>
      <c r="P396" s="27"/>
      <c r="Q396" s="132"/>
      <c r="R396" s="132"/>
      <c r="S396" s="124"/>
      <c r="T396" s="27"/>
      <c r="U396" s="27"/>
      <c r="V396" s="27"/>
      <c r="W396" s="27"/>
      <c r="X396" s="27"/>
      <c r="Y396" s="27"/>
      <c r="Z396" s="27"/>
      <c r="AA396" s="27"/>
      <c r="AB396" s="27"/>
      <c r="AC396" s="27"/>
      <c r="AD396" s="123"/>
    </row>
    <row r="397" spans="1:30" s="241" customFormat="1" ht="12.75" customHeight="1" x14ac:dyDescent="0.2">
      <c r="A397" s="132"/>
      <c r="B397" s="32"/>
      <c r="C397" s="27"/>
      <c r="D397" s="27"/>
      <c r="E397" s="119"/>
      <c r="F397" s="119"/>
      <c r="G397" s="119"/>
      <c r="H397" s="119"/>
      <c r="I397" s="119"/>
      <c r="J397" s="119"/>
      <c r="K397" s="123"/>
      <c r="L397" s="123"/>
      <c r="M397" s="132"/>
      <c r="N397" s="132"/>
      <c r="O397" s="27"/>
      <c r="P397" s="27"/>
      <c r="Q397" s="132"/>
      <c r="R397" s="132"/>
      <c r="S397" s="124"/>
      <c r="T397" s="27"/>
      <c r="U397" s="27"/>
      <c r="V397" s="27"/>
      <c r="W397" s="27"/>
      <c r="X397" s="27"/>
      <c r="Y397" s="27"/>
      <c r="Z397" s="27"/>
      <c r="AA397" s="27"/>
      <c r="AB397" s="27"/>
      <c r="AC397" s="27"/>
      <c r="AD397" s="123"/>
    </row>
    <row r="398" spans="1:30" s="241" customFormat="1" ht="12.75" customHeight="1" x14ac:dyDescent="0.2">
      <c r="A398" s="132"/>
      <c r="B398" s="32"/>
      <c r="C398" s="27"/>
      <c r="D398" s="27"/>
      <c r="E398" s="119"/>
      <c r="F398" s="119"/>
      <c r="G398" s="119"/>
      <c r="H398" s="119"/>
      <c r="I398" s="119"/>
      <c r="J398" s="119"/>
      <c r="K398" s="123"/>
      <c r="L398" s="123"/>
      <c r="M398" s="132"/>
      <c r="N398" s="132"/>
      <c r="O398" s="27"/>
      <c r="P398" s="27"/>
      <c r="Q398" s="132"/>
      <c r="R398" s="132"/>
      <c r="S398" s="124"/>
      <c r="T398" s="27"/>
      <c r="U398" s="27"/>
      <c r="V398" s="27"/>
      <c r="W398" s="27"/>
      <c r="X398" s="27"/>
      <c r="Y398" s="27"/>
      <c r="Z398" s="27"/>
      <c r="AA398" s="27"/>
      <c r="AB398" s="27"/>
      <c r="AC398" s="27"/>
      <c r="AD398" s="123"/>
    </row>
    <row r="399" spans="1:30" s="241" customFormat="1" ht="12.75" customHeight="1" x14ac:dyDescent="0.2">
      <c r="A399" s="132"/>
      <c r="B399" s="32"/>
      <c r="C399" s="27"/>
      <c r="D399" s="27"/>
      <c r="E399" s="119"/>
      <c r="F399" s="119"/>
      <c r="G399" s="119"/>
      <c r="H399" s="119"/>
      <c r="I399" s="119"/>
      <c r="J399" s="119"/>
      <c r="K399" s="123"/>
      <c r="L399" s="123"/>
      <c r="M399" s="132"/>
      <c r="N399" s="132"/>
      <c r="O399" s="27"/>
      <c r="P399" s="27"/>
      <c r="Q399" s="132"/>
      <c r="R399" s="132"/>
      <c r="S399" s="124"/>
      <c r="T399" s="27"/>
      <c r="U399" s="27"/>
      <c r="V399" s="27"/>
      <c r="W399" s="27"/>
      <c r="X399" s="27"/>
      <c r="Y399" s="27"/>
      <c r="Z399" s="27"/>
      <c r="AA399" s="27"/>
      <c r="AB399" s="27"/>
      <c r="AC399" s="27"/>
      <c r="AD399" s="123"/>
    </row>
    <row r="400" spans="1:30" s="241" customFormat="1" ht="12.75" customHeight="1" x14ac:dyDescent="0.2">
      <c r="A400" s="132"/>
      <c r="B400" s="32"/>
      <c r="C400" s="27"/>
      <c r="D400" s="27"/>
      <c r="E400" s="119"/>
      <c r="F400" s="119"/>
      <c r="G400" s="119"/>
      <c r="H400" s="119"/>
      <c r="I400" s="119"/>
      <c r="J400" s="119"/>
      <c r="K400" s="123"/>
      <c r="L400" s="123"/>
      <c r="M400" s="132"/>
      <c r="N400" s="132"/>
      <c r="O400" s="27"/>
      <c r="P400" s="27"/>
      <c r="Q400" s="132"/>
      <c r="R400" s="132"/>
      <c r="S400" s="124"/>
      <c r="T400" s="27"/>
      <c r="U400" s="27"/>
      <c r="V400" s="27"/>
      <c r="W400" s="27"/>
      <c r="X400" s="27"/>
      <c r="Y400" s="27"/>
      <c r="Z400" s="27"/>
      <c r="AA400" s="27"/>
      <c r="AB400" s="27"/>
      <c r="AC400" s="27"/>
      <c r="AD400" s="123"/>
    </row>
    <row r="401" spans="1:30" s="241" customFormat="1" ht="12.75" customHeight="1" x14ac:dyDescent="0.2">
      <c r="A401" s="132"/>
      <c r="B401" s="32"/>
      <c r="C401" s="27"/>
      <c r="D401" s="27"/>
      <c r="E401" s="119"/>
      <c r="F401" s="119"/>
      <c r="G401" s="119"/>
      <c r="H401" s="119"/>
      <c r="I401" s="119"/>
      <c r="J401" s="119"/>
      <c r="K401" s="123"/>
      <c r="L401" s="123"/>
      <c r="M401" s="132"/>
      <c r="N401" s="132"/>
      <c r="O401" s="27"/>
      <c r="P401" s="27"/>
      <c r="Q401" s="132"/>
      <c r="R401" s="132"/>
      <c r="S401" s="124"/>
      <c r="T401" s="27"/>
      <c r="U401" s="27"/>
      <c r="V401" s="27"/>
      <c r="W401" s="27"/>
      <c r="X401" s="27"/>
      <c r="Y401" s="27"/>
      <c r="Z401" s="27"/>
      <c r="AA401" s="27"/>
      <c r="AB401" s="27"/>
      <c r="AC401" s="27"/>
      <c r="AD401" s="123"/>
    </row>
    <row r="402" spans="1:30" s="241" customFormat="1" ht="12.75" customHeight="1" x14ac:dyDescent="0.2">
      <c r="A402" s="132"/>
      <c r="B402" s="32"/>
      <c r="C402" s="27"/>
      <c r="D402" s="27"/>
      <c r="E402" s="119"/>
      <c r="F402" s="119"/>
      <c r="G402" s="119"/>
      <c r="H402" s="119"/>
      <c r="I402" s="119"/>
      <c r="J402" s="119"/>
      <c r="K402" s="123"/>
      <c r="L402" s="123"/>
      <c r="M402" s="132"/>
      <c r="N402" s="132"/>
      <c r="O402" s="27"/>
      <c r="P402" s="27"/>
      <c r="Q402" s="132"/>
      <c r="R402" s="132"/>
      <c r="S402" s="124"/>
      <c r="T402" s="27"/>
      <c r="U402" s="27"/>
      <c r="V402" s="27"/>
      <c r="W402" s="27"/>
      <c r="X402" s="27"/>
      <c r="Y402" s="27"/>
      <c r="Z402" s="27"/>
      <c r="AA402" s="27"/>
      <c r="AB402" s="27"/>
      <c r="AC402" s="27"/>
      <c r="AD402" s="123"/>
    </row>
    <row r="403" spans="1:30" s="241" customFormat="1" ht="12.75" customHeight="1" x14ac:dyDescent="0.2">
      <c r="A403" s="132"/>
      <c r="B403" s="32"/>
      <c r="C403" s="27"/>
      <c r="D403" s="27"/>
      <c r="E403" s="119"/>
      <c r="F403" s="119"/>
      <c r="G403" s="119"/>
      <c r="H403" s="119"/>
      <c r="I403" s="119"/>
      <c r="J403" s="119"/>
      <c r="K403" s="123"/>
      <c r="L403" s="123"/>
      <c r="M403" s="132"/>
      <c r="N403" s="132"/>
      <c r="O403" s="27"/>
      <c r="P403" s="27"/>
      <c r="Q403" s="132"/>
      <c r="R403" s="132"/>
      <c r="S403" s="124"/>
      <c r="T403" s="27"/>
      <c r="U403" s="27"/>
      <c r="V403" s="27"/>
      <c r="W403" s="27"/>
      <c r="X403" s="27"/>
      <c r="Y403" s="27"/>
      <c r="Z403" s="27"/>
      <c r="AA403" s="27"/>
      <c r="AB403" s="27"/>
      <c r="AC403" s="27"/>
      <c r="AD403" s="123"/>
    </row>
    <row r="404" spans="1:30" s="241" customFormat="1" ht="12.75" customHeight="1" x14ac:dyDescent="0.2">
      <c r="A404" s="132"/>
      <c r="B404" s="32"/>
      <c r="C404" s="27"/>
      <c r="D404" s="27"/>
      <c r="E404" s="119"/>
      <c r="F404" s="119"/>
      <c r="G404" s="119"/>
      <c r="H404" s="119"/>
      <c r="I404" s="119"/>
      <c r="J404" s="119"/>
      <c r="K404" s="123"/>
      <c r="L404" s="123"/>
      <c r="M404" s="132"/>
      <c r="N404" s="132"/>
      <c r="O404" s="27"/>
      <c r="P404" s="27"/>
      <c r="Q404" s="132"/>
      <c r="R404" s="132"/>
      <c r="S404" s="124"/>
      <c r="T404" s="27"/>
      <c r="U404" s="27"/>
      <c r="V404" s="27"/>
      <c r="W404" s="27"/>
      <c r="X404" s="27"/>
      <c r="Y404" s="27"/>
      <c r="Z404" s="27"/>
      <c r="AA404" s="27"/>
      <c r="AB404" s="27"/>
      <c r="AC404" s="27"/>
      <c r="AD404" s="123"/>
    </row>
    <row r="405" spans="1:30" s="241" customFormat="1" ht="12.75" customHeight="1" x14ac:dyDescent="0.2">
      <c r="A405" s="132"/>
      <c r="B405" s="32"/>
      <c r="C405" s="27"/>
      <c r="D405" s="27"/>
      <c r="E405" s="119"/>
      <c r="F405" s="119"/>
      <c r="G405" s="119"/>
      <c r="H405" s="119"/>
      <c r="I405" s="119"/>
      <c r="J405" s="119"/>
      <c r="K405" s="123"/>
      <c r="L405" s="123"/>
      <c r="M405" s="132"/>
      <c r="N405" s="132"/>
      <c r="O405" s="27"/>
      <c r="P405" s="27"/>
      <c r="Q405" s="132"/>
      <c r="R405" s="132"/>
      <c r="S405" s="124"/>
      <c r="T405" s="27"/>
      <c r="U405" s="27"/>
      <c r="V405" s="27"/>
      <c r="W405" s="27"/>
      <c r="X405" s="27"/>
      <c r="Y405" s="27"/>
      <c r="Z405" s="27"/>
      <c r="AA405" s="27"/>
      <c r="AB405" s="27"/>
      <c r="AC405" s="27"/>
      <c r="AD405" s="123"/>
    </row>
    <row r="406" spans="1:30" s="241" customFormat="1" ht="12.75" customHeight="1" x14ac:dyDescent="0.2">
      <c r="A406" s="132"/>
      <c r="B406" s="32"/>
      <c r="C406" s="27"/>
      <c r="D406" s="27"/>
      <c r="E406" s="119"/>
      <c r="F406" s="119"/>
      <c r="G406" s="119"/>
      <c r="H406" s="119"/>
      <c r="I406" s="119"/>
      <c r="J406" s="119"/>
      <c r="K406" s="123"/>
      <c r="L406" s="123"/>
      <c r="M406" s="132"/>
      <c r="N406" s="132"/>
      <c r="O406" s="27"/>
      <c r="P406" s="27"/>
      <c r="Q406" s="132"/>
      <c r="R406" s="132"/>
      <c r="S406" s="124"/>
      <c r="T406" s="27"/>
      <c r="U406" s="27"/>
      <c r="V406" s="27"/>
      <c r="W406" s="27"/>
      <c r="X406" s="27"/>
      <c r="Y406" s="27"/>
      <c r="Z406" s="27"/>
      <c r="AA406" s="27"/>
      <c r="AB406" s="27"/>
      <c r="AC406" s="27"/>
      <c r="AD406" s="123"/>
    </row>
    <row r="407" spans="1:30" s="241" customFormat="1" ht="12.75" customHeight="1" x14ac:dyDescent="0.2">
      <c r="A407" s="132"/>
      <c r="B407" s="32"/>
      <c r="C407" s="27"/>
      <c r="D407" s="27"/>
      <c r="E407" s="119"/>
      <c r="F407" s="119"/>
      <c r="G407" s="119"/>
      <c r="H407" s="119"/>
      <c r="I407" s="119"/>
      <c r="J407" s="119"/>
      <c r="K407" s="123"/>
      <c r="L407" s="123"/>
      <c r="M407" s="132"/>
      <c r="N407" s="132"/>
      <c r="O407" s="27"/>
      <c r="P407" s="27"/>
      <c r="Q407" s="132"/>
      <c r="R407" s="132"/>
      <c r="S407" s="124"/>
      <c r="T407" s="27"/>
      <c r="U407" s="27"/>
      <c r="V407" s="27"/>
      <c r="W407" s="27"/>
      <c r="X407" s="27"/>
      <c r="Y407" s="27"/>
      <c r="Z407" s="27"/>
      <c r="AA407" s="27"/>
      <c r="AB407" s="27"/>
      <c r="AC407" s="27"/>
      <c r="AD407" s="123"/>
    </row>
    <row r="408" spans="1:30" s="241" customFormat="1" ht="12.75" customHeight="1" x14ac:dyDescent="0.2">
      <c r="A408" s="132"/>
      <c r="B408" s="32"/>
      <c r="C408" s="27"/>
      <c r="D408" s="27"/>
      <c r="E408" s="119"/>
      <c r="F408" s="119"/>
      <c r="G408" s="119"/>
      <c r="H408" s="119"/>
      <c r="I408" s="119"/>
      <c r="J408" s="119"/>
      <c r="K408" s="123"/>
      <c r="L408" s="123"/>
      <c r="M408" s="132"/>
      <c r="N408" s="132"/>
      <c r="O408" s="27"/>
      <c r="P408" s="27"/>
      <c r="Q408" s="132"/>
      <c r="R408" s="132"/>
      <c r="S408" s="124"/>
      <c r="T408" s="27"/>
      <c r="U408" s="27"/>
      <c r="V408" s="27"/>
      <c r="W408" s="27"/>
      <c r="X408" s="27"/>
      <c r="Y408" s="27"/>
      <c r="Z408" s="27"/>
      <c r="AA408" s="27"/>
      <c r="AB408" s="27"/>
      <c r="AC408" s="27"/>
      <c r="AD408" s="123"/>
    </row>
    <row r="409" spans="1:30" s="241" customFormat="1" ht="12.75" customHeight="1" x14ac:dyDescent="0.2">
      <c r="A409" s="132"/>
      <c r="B409" s="32"/>
      <c r="C409" s="27"/>
      <c r="D409" s="27"/>
      <c r="E409" s="119"/>
      <c r="F409" s="119"/>
      <c r="G409" s="119"/>
      <c r="H409" s="119"/>
      <c r="I409" s="119"/>
      <c r="J409" s="119"/>
      <c r="K409" s="123"/>
      <c r="L409" s="123"/>
      <c r="M409" s="132"/>
      <c r="N409" s="132"/>
      <c r="O409" s="27"/>
      <c r="P409" s="27"/>
      <c r="Q409" s="132"/>
      <c r="R409" s="132"/>
      <c r="S409" s="124"/>
      <c r="T409" s="27"/>
      <c r="U409" s="27"/>
      <c r="V409" s="27"/>
      <c r="W409" s="27"/>
      <c r="X409" s="27"/>
      <c r="Y409" s="27"/>
      <c r="Z409" s="27"/>
      <c r="AA409" s="27"/>
      <c r="AB409" s="27"/>
      <c r="AC409" s="27"/>
      <c r="AD409" s="123"/>
    </row>
    <row r="410" spans="1:30" s="241" customFormat="1" ht="12.75" customHeight="1" x14ac:dyDescent="0.2">
      <c r="A410" s="132"/>
      <c r="B410" s="32"/>
      <c r="C410" s="27"/>
      <c r="D410" s="27"/>
      <c r="E410" s="119"/>
      <c r="F410" s="119"/>
      <c r="G410" s="119"/>
      <c r="H410" s="119"/>
      <c r="I410" s="119"/>
      <c r="J410" s="119"/>
      <c r="K410" s="123"/>
      <c r="L410" s="123"/>
      <c r="M410" s="132"/>
      <c r="N410" s="132"/>
      <c r="O410" s="27"/>
      <c r="P410" s="27"/>
      <c r="Q410" s="132"/>
      <c r="R410" s="132"/>
      <c r="S410" s="124"/>
      <c r="T410" s="27"/>
      <c r="U410" s="27"/>
      <c r="V410" s="27"/>
      <c r="W410" s="27"/>
      <c r="X410" s="27"/>
      <c r="Y410" s="27"/>
      <c r="Z410" s="27"/>
      <c r="AA410" s="27"/>
      <c r="AB410" s="27"/>
      <c r="AC410" s="27"/>
      <c r="AD410" s="123"/>
    </row>
    <row r="411" spans="1:30" s="241" customFormat="1" ht="12.75" customHeight="1" x14ac:dyDescent="0.2">
      <c r="A411" s="132"/>
      <c r="B411" s="32"/>
      <c r="C411" s="27"/>
      <c r="D411" s="27"/>
      <c r="E411" s="119"/>
      <c r="F411" s="119"/>
      <c r="G411" s="119"/>
      <c r="H411" s="119"/>
      <c r="I411" s="119"/>
      <c r="J411" s="119"/>
      <c r="K411" s="123"/>
      <c r="L411" s="123"/>
      <c r="M411" s="132"/>
      <c r="N411" s="132"/>
      <c r="O411" s="27"/>
      <c r="P411" s="27"/>
      <c r="Q411" s="132"/>
      <c r="R411" s="132"/>
      <c r="S411" s="124"/>
      <c r="T411" s="27"/>
      <c r="U411" s="27"/>
      <c r="V411" s="27"/>
      <c r="W411" s="27"/>
      <c r="X411" s="27"/>
      <c r="Y411" s="27"/>
      <c r="Z411" s="27"/>
      <c r="AA411" s="27"/>
      <c r="AB411" s="27"/>
      <c r="AC411" s="27"/>
      <c r="AD411" s="123"/>
    </row>
    <row r="412" spans="1:30" s="241" customFormat="1" ht="12.75" customHeight="1" x14ac:dyDescent="0.2">
      <c r="A412" s="132"/>
      <c r="B412" s="32"/>
      <c r="C412" s="27"/>
      <c r="D412" s="27"/>
      <c r="E412" s="119"/>
      <c r="F412" s="119"/>
      <c r="G412" s="119"/>
      <c r="H412" s="119"/>
      <c r="I412" s="119"/>
      <c r="J412" s="119"/>
      <c r="K412" s="123"/>
      <c r="L412" s="123"/>
      <c r="M412" s="132"/>
      <c r="N412" s="132"/>
      <c r="O412" s="27"/>
      <c r="P412" s="27"/>
      <c r="Q412" s="132"/>
      <c r="R412" s="132"/>
      <c r="S412" s="124"/>
      <c r="T412" s="27"/>
      <c r="U412" s="27"/>
      <c r="V412" s="27"/>
      <c r="W412" s="27"/>
      <c r="X412" s="27"/>
      <c r="Y412" s="27"/>
      <c r="Z412" s="27"/>
      <c r="AA412" s="27"/>
      <c r="AB412" s="27"/>
      <c r="AC412" s="27"/>
      <c r="AD412" s="123"/>
    </row>
    <row r="413" spans="1:30" s="241" customFormat="1" ht="12.75" customHeight="1" x14ac:dyDescent="0.2">
      <c r="A413" s="132"/>
      <c r="B413" s="32"/>
      <c r="C413" s="27"/>
      <c r="D413" s="27"/>
      <c r="E413" s="119"/>
      <c r="F413" s="119"/>
      <c r="G413" s="119"/>
      <c r="H413" s="119"/>
      <c r="I413" s="119"/>
      <c r="J413" s="119"/>
      <c r="K413" s="123"/>
      <c r="L413" s="123"/>
      <c r="M413" s="132"/>
      <c r="N413" s="132"/>
      <c r="O413" s="27"/>
      <c r="P413" s="27"/>
      <c r="Q413" s="132"/>
      <c r="R413" s="132"/>
      <c r="S413" s="124"/>
      <c r="T413" s="27"/>
      <c r="U413" s="27"/>
      <c r="V413" s="27"/>
      <c r="W413" s="27"/>
      <c r="X413" s="27"/>
      <c r="Y413" s="27"/>
      <c r="Z413" s="27"/>
      <c r="AA413" s="27"/>
      <c r="AB413" s="27"/>
      <c r="AC413" s="27"/>
      <c r="AD413" s="123"/>
    </row>
    <row r="414" spans="1:30" s="241" customFormat="1" ht="12.75" customHeight="1" x14ac:dyDescent="0.2">
      <c r="A414" s="132"/>
      <c r="B414" s="32"/>
      <c r="C414" s="27"/>
      <c r="D414" s="27"/>
      <c r="E414" s="119"/>
      <c r="F414" s="119"/>
      <c r="G414" s="119"/>
      <c r="H414" s="119"/>
      <c r="I414" s="119"/>
      <c r="J414" s="119"/>
      <c r="K414" s="123"/>
      <c r="L414" s="123"/>
      <c r="M414" s="132"/>
      <c r="N414" s="132"/>
      <c r="O414" s="27"/>
      <c r="P414" s="27"/>
      <c r="Q414" s="132"/>
      <c r="R414" s="132"/>
      <c r="S414" s="124"/>
      <c r="T414" s="27"/>
      <c r="U414" s="27"/>
      <c r="V414" s="27"/>
      <c r="W414" s="27"/>
      <c r="X414" s="27"/>
      <c r="Y414" s="27"/>
      <c r="Z414" s="27"/>
      <c r="AA414" s="27"/>
      <c r="AB414" s="27"/>
      <c r="AC414" s="27"/>
      <c r="AD414" s="123"/>
    </row>
    <row r="415" spans="1:30" s="241" customFormat="1" ht="12.75" customHeight="1" x14ac:dyDescent="0.2">
      <c r="A415" s="132"/>
      <c r="B415" s="32"/>
      <c r="C415" s="27"/>
      <c r="D415" s="27"/>
      <c r="E415" s="119"/>
      <c r="F415" s="119"/>
      <c r="G415" s="119"/>
      <c r="H415" s="119"/>
      <c r="I415" s="119"/>
      <c r="J415" s="119"/>
      <c r="K415" s="123"/>
      <c r="L415" s="123"/>
      <c r="M415" s="132"/>
      <c r="N415" s="132"/>
      <c r="O415" s="27"/>
      <c r="P415" s="27"/>
      <c r="Q415" s="132"/>
      <c r="R415" s="132"/>
      <c r="S415" s="124"/>
      <c r="T415" s="27"/>
      <c r="U415" s="27"/>
      <c r="V415" s="27"/>
      <c r="W415" s="27"/>
      <c r="X415" s="27"/>
      <c r="Y415" s="27"/>
      <c r="Z415" s="27"/>
      <c r="AA415" s="27"/>
      <c r="AB415" s="27"/>
      <c r="AC415" s="27"/>
      <c r="AD415" s="123"/>
    </row>
    <row r="416" spans="1:30" s="241" customFormat="1" ht="12.75" customHeight="1" x14ac:dyDescent="0.2">
      <c r="A416" s="132"/>
      <c r="B416" s="32"/>
      <c r="C416" s="27"/>
      <c r="D416" s="27"/>
      <c r="E416" s="119"/>
      <c r="F416" s="119"/>
      <c r="G416" s="119"/>
      <c r="H416" s="119"/>
      <c r="I416" s="119"/>
      <c r="J416" s="119"/>
      <c r="K416" s="123"/>
      <c r="L416" s="123"/>
      <c r="M416" s="132"/>
      <c r="N416" s="132"/>
      <c r="O416" s="27"/>
      <c r="P416" s="27"/>
      <c r="Q416" s="132"/>
      <c r="R416" s="132"/>
      <c r="S416" s="124"/>
      <c r="T416" s="27"/>
      <c r="U416" s="27"/>
      <c r="V416" s="27"/>
      <c r="W416" s="27"/>
      <c r="X416" s="27"/>
      <c r="Y416" s="27"/>
      <c r="Z416" s="27"/>
      <c r="AA416" s="27"/>
      <c r="AB416" s="27"/>
      <c r="AC416" s="27"/>
      <c r="AD416" s="123"/>
    </row>
    <row r="417" spans="1:30" s="241" customFormat="1" ht="12.75" customHeight="1" x14ac:dyDescent="0.2">
      <c r="A417" s="132"/>
      <c r="B417" s="32"/>
      <c r="C417" s="27"/>
      <c r="D417" s="27"/>
      <c r="E417" s="119"/>
      <c r="F417" s="119"/>
      <c r="G417" s="119"/>
      <c r="H417" s="119"/>
      <c r="I417" s="119"/>
      <c r="J417" s="119"/>
      <c r="K417" s="123"/>
      <c r="L417" s="123"/>
      <c r="M417" s="132"/>
      <c r="N417" s="132"/>
      <c r="O417" s="27"/>
      <c r="P417" s="27"/>
      <c r="Q417" s="132"/>
      <c r="R417" s="132"/>
      <c r="S417" s="124"/>
      <c r="T417" s="27"/>
      <c r="U417" s="27"/>
      <c r="V417" s="27"/>
      <c r="W417" s="27"/>
      <c r="X417" s="27"/>
      <c r="Y417" s="27"/>
      <c r="Z417" s="27"/>
      <c r="AA417" s="27"/>
      <c r="AB417" s="27"/>
      <c r="AC417" s="27"/>
      <c r="AD417" s="123"/>
    </row>
    <row r="418" spans="1:30" s="241" customFormat="1" ht="12.75" customHeight="1" x14ac:dyDescent="0.2">
      <c r="A418" s="132"/>
      <c r="B418" s="32"/>
      <c r="C418" s="27"/>
      <c r="D418" s="27"/>
      <c r="E418" s="119"/>
      <c r="F418" s="119"/>
      <c r="G418" s="119"/>
      <c r="H418" s="119"/>
      <c r="I418" s="119"/>
      <c r="J418" s="119"/>
      <c r="K418" s="123"/>
      <c r="L418" s="123"/>
      <c r="M418" s="132"/>
      <c r="N418" s="132"/>
      <c r="O418" s="27"/>
      <c r="P418" s="27"/>
      <c r="Q418" s="132"/>
      <c r="R418" s="132"/>
      <c r="S418" s="124"/>
      <c r="T418" s="27"/>
      <c r="U418" s="27"/>
      <c r="V418" s="27"/>
      <c r="W418" s="27"/>
      <c r="X418" s="27"/>
      <c r="Y418" s="27"/>
      <c r="Z418" s="27"/>
      <c r="AA418" s="27"/>
      <c r="AB418" s="27"/>
      <c r="AC418" s="27"/>
      <c r="AD418" s="123"/>
    </row>
    <row r="419" spans="1:30" s="241" customFormat="1" ht="12.75" customHeight="1" x14ac:dyDescent="0.2">
      <c r="A419" s="132"/>
      <c r="B419" s="32"/>
      <c r="C419" s="27"/>
      <c r="D419" s="27"/>
      <c r="E419" s="119"/>
      <c r="F419" s="119"/>
      <c r="G419" s="119"/>
      <c r="H419" s="119"/>
      <c r="I419" s="119"/>
      <c r="J419" s="119"/>
      <c r="K419" s="123"/>
      <c r="L419" s="123"/>
      <c r="M419" s="132"/>
      <c r="N419" s="132"/>
      <c r="O419" s="27"/>
      <c r="P419" s="27"/>
      <c r="Q419" s="132"/>
      <c r="R419" s="132"/>
      <c r="S419" s="124"/>
      <c r="T419" s="27"/>
      <c r="U419" s="27"/>
      <c r="V419" s="27"/>
      <c r="W419" s="27"/>
      <c r="X419" s="27"/>
      <c r="Y419" s="27"/>
      <c r="Z419" s="27"/>
      <c r="AA419" s="27"/>
      <c r="AB419" s="27"/>
      <c r="AC419" s="27"/>
      <c r="AD419" s="123"/>
    </row>
    <row r="420" spans="1:30" s="241" customFormat="1" ht="12.75" customHeight="1" x14ac:dyDescent="0.2">
      <c r="A420" s="132"/>
      <c r="B420" s="32"/>
      <c r="C420" s="27"/>
      <c r="D420" s="27"/>
      <c r="E420" s="119"/>
      <c r="F420" s="119"/>
      <c r="G420" s="119"/>
      <c r="H420" s="119"/>
      <c r="I420" s="119"/>
      <c r="J420" s="119"/>
      <c r="K420" s="123"/>
      <c r="L420" s="123"/>
      <c r="M420" s="132"/>
      <c r="N420" s="132"/>
      <c r="O420" s="27"/>
      <c r="P420" s="27"/>
      <c r="Q420" s="132"/>
      <c r="R420" s="132"/>
      <c r="S420" s="124"/>
      <c r="T420" s="27"/>
      <c r="U420" s="27"/>
      <c r="V420" s="27"/>
      <c r="W420" s="27"/>
      <c r="X420" s="27"/>
      <c r="Y420" s="27"/>
      <c r="Z420" s="27"/>
      <c r="AA420" s="27"/>
      <c r="AB420" s="27"/>
      <c r="AC420" s="27"/>
      <c r="AD420" s="123"/>
    </row>
    <row r="421" spans="1:30" s="241" customFormat="1" ht="12.75" customHeight="1" x14ac:dyDescent="0.2">
      <c r="A421" s="132"/>
      <c r="B421" s="32"/>
      <c r="C421" s="27"/>
      <c r="D421" s="27"/>
      <c r="E421" s="119"/>
      <c r="F421" s="119"/>
      <c r="G421" s="119"/>
      <c r="H421" s="119"/>
      <c r="I421" s="119"/>
      <c r="J421" s="119"/>
      <c r="K421" s="123"/>
      <c r="L421" s="123"/>
      <c r="M421" s="132"/>
      <c r="N421" s="132"/>
      <c r="O421" s="27"/>
      <c r="P421" s="27"/>
      <c r="Q421" s="132"/>
      <c r="R421" s="132"/>
      <c r="S421" s="124"/>
      <c r="T421" s="27"/>
      <c r="U421" s="27"/>
      <c r="V421" s="27"/>
      <c r="W421" s="27"/>
      <c r="X421" s="27"/>
      <c r="Y421" s="27"/>
      <c r="Z421" s="27"/>
      <c r="AA421" s="27"/>
      <c r="AB421" s="27"/>
      <c r="AC421" s="27"/>
      <c r="AD421" s="123"/>
    </row>
    <row r="422" spans="1:30" s="241" customFormat="1" ht="12.75" customHeight="1" x14ac:dyDescent="0.2">
      <c r="A422" s="132"/>
      <c r="B422" s="32"/>
      <c r="C422" s="27"/>
      <c r="D422" s="27"/>
      <c r="E422" s="119"/>
      <c r="F422" s="119"/>
      <c r="G422" s="119"/>
      <c r="H422" s="119"/>
      <c r="I422" s="119"/>
      <c r="J422" s="119"/>
      <c r="K422" s="123"/>
      <c r="L422" s="123"/>
      <c r="M422" s="132"/>
      <c r="N422" s="132"/>
      <c r="O422" s="27"/>
      <c r="P422" s="27"/>
      <c r="Q422" s="132"/>
      <c r="R422" s="132"/>
      <c r="S422" s="124"/>
      <c r="T422" s="27"/>
      <c r="U422" s="27"/>
      <c r="V422" s="27"/>
      <c r="W422" s="27"/>
      <c r="X422" s="27"/>
      <c r="Y422" s="27"/>
      <c r="Z422" s="27"/>
      <c r="AA422" s="27"/>
      <c r="AB422" s="27"/>
      <c r="AC422" s="27"/>
      <c r="AD422" s="123"/>
    </row>
    <row r="423" spans="1:30" s="241" customFormat="1" ht="12.75" customHeight="1" x14ac:dyDescent="0.2">
      <c r="A423" s="132"/>
      <c r="B423" s="32"/>
      <c r="C423" s="27"/>
      <c r="D423" s="27"/>
      <c r="E423" s="119"/>
      <c r="F423" s="119"/>
      <c r="G423" s="119"/>
      <c r="H423" s="119"/>
      <c r="I423" s="119"/>
      <c r="J423" s="119"/>
      <c r="K423" s="123"/>
      <c r="L423" s="123"/>
      <c r="M423" s="132"/>
      <c r="N423" s="132"/>
      <c r="O423" s="27"/>
      <c r="P423" s="27"/>
      <c r="Q423" s="132"/>
      <c r="R423" s="132"/>
      <c r="S423" s="124"/>
      <c r="T423" s="27"/>
      <c r="U423" s="27"/>
      <c r="V423" s="27"/>
      <c r="W423" s="27"/>
      <c r="X423" s="27"/>
      <c r="Y423" s="27"/>
      <c r="Z423" s="27"/>
      <c r="AA423" s="27"/>
      <c r="AB423" s="27"/>
      <c r="AC423" s="27"/>
      <c r="AD423" s="123"/>
    </row>
    <row r="424" spans="1:30" s="241" customFormat="1" ht="12.75" customHeight="1" x14ac:dyDescent="0.2">
      <c r="A424" s="132"/>
      <c r="B424" s="32"/>
      <c r="C424" s="27"/>
      <c r="D424" s="27"/>
      <c r="E424" s="119"/>
      <c r="F424" s="119"/>
      <c r="G424" s="119"/>
      <c r="H424" s="119"/>
      <c r="I424" s="119"/>
      <c r="J424" s="119"/>
      <c r="K424" s="123"/>
      <c r="L424" s="123"/>
      <c r="M424" s="132"/>
      <c r="N424" s="132"/>
      <c r="O424" s="27"/>
      <c r="P424" s="27"/>
      <c r="Q424" s="132"/>
      <c r="R424" s="132"/>
      <c r="S424" s="124"/>
      <c r="T424" s="27"/>
      <c r="U424" s="27"/>
      <c r="V424" s="27"/>
      <c r="W424" s="27"/>
      <c r="X424" s="27"/>
      <c r="Y424" s="27"/>
      <c r="Z424" s="27"/>
      <c r="AA424" s="27"/>
      <c r="AB424" s="27"/>
      <c r="AC424" s="27"/>
      <c r="AD424" s="123"/>
    </row>
    <row r="425" spans="1:30" s="241" customFormat="1" ht="12.75" customHeight="1" x14ac:dyDescent="0.2">
      <c r="A425" s="132"/>
      <c r="B425" s="32"/>
      <c r="C425" s="27"/>
      <c r="D425" s="27"/>
      <c r="E425" s="119"/>
      <c r="F425" s="119"/>
      <c r="G425" s="119"/>
      <c r="H425" s="119"/>
      <c r="I425" s="119"/>
      <c r="J425" s="119"/>
      <c r="K425" s="123"/>
      <c r="L425" s="123"/>
      <c r="M425" s="132"/>
      <c r="N425" s="132"/>
      <c r="O425" s="27"/>
      <c r="P425" s="27"/>
      <c r="Q425" s="132"/>
      <c r="R425" s="132"/>
      <c r="S425" s="124"/>
      <c r="T425" s="27"/>
      <c r="U425" s="27"/>
      <c r="V425" s="27"/>
      <c r="W425" s="27"/>
      <c r="X425" s="27"/>
      <c r="Y425" s="27"/>
      <c r="Z425" s="27"/>
      <c r="AA425" s="27"/>
      <c r="AB425" s="27"/>
      <c r="AC425" s="27"/>
      <c r="AD425" s="123"/>
    </row>
    <row r="426" spans="1:30" s="241" customFormat="1" ht="12.75" customHeight="1" x14ac:dyDescent="0.2">
      <c r="A426" s="132"/>
      <c r="B426" s="32"/>
      <c r="C426" s="27"/>
      <c r="D426" s="27"/>
      <c r="E426" s="119"/>
      <c r="F426" s="119"/>
      <c r="G426" s="119"/>
      <c r="H426" s="119"/>
      <c r="I426" s="119"/>
      <c r="J426" s="119"/>
      <c r="K426" s="123"/>
      <c r="L426" s="123"/>
      <c r="M426" s="132"/>
      <c r="N426" s="132"/>
      <c r="O426" s="27"/>
      <c r="P426" s="27"/>
      <c r="Q426" s="132"/>
      <c r="R426" s="132"/>
      <c r="S426" s="124"/>
      <c r="T426" s="27"/>
      <c r="U426" s="27"/>
      <c r="V426" s="27"/>
      <c r="W426" s="27"/>
      <c r="X426" s="27"/>
      <c r="Y426" s="27"/>
      <c r="Z426" s="27"/>
      <c r="AA426" s="27"/>
      <c r="AB426" s="27"/>
      <c r="AC426" s="27"/>
      <c r="AD426" s="123"/>
    </row>
    <row r="427" spans="1:30" s="241" customFormat="1" ht="12.75" customHeight="1" x14ac:dyDescent="0.2">
      <c r="A427" s="132"/>
      <c r="B427" s="32"/>
      <c r="C427" s="27"/>
      <c r="D427" s="27"/>
      <c r="E427" s="119"/>
      <c r="F427" s="119"/>
      <c r="G427" s="119"/>
      <c r="H427" s="119"/>
      <c r="I427" s="119"/>
      <c r="J427" s="119"/>
      <c r="K427" s="123"/>
      <c r="L427" s="123"/>
      <c r="M427" s="132"/>
      <c r="N427" s="132"/>
      <c r="O427" s="27"/>
      <c r="P427" s="27"/>
      <c r="Q427" s="132"/>
      <c r="R427" s="132"/>
      <c r="S427" s="124"/>
      <c r="T427" s="27"/>
      <c r="U427" s="27"/>
      <c r="V427" s="27"/>
      <c r="W427" s="27"/>
      <c r="X427" s="27"/>
      <c r="Y427" s="27"/>
      <c r="Z427" s="27"/>
      <c r="AA427" s="27"/>
      <c r="AB427" s="27"/>
      <c r="AC427" s="27"/>
      <c r="AD427" s="123"/>
    </row>
    <row r="428" spans="1:30" s="241" customFormat="1" ht="12.75" customHeight="1" x14ac:dyDescent="0.2">
      <c r="A428" s="132"/>
      <c r="B428" s="32"/>
      <c r="C428" s="27"/>
      <c r="D428" s="27"/>
      <c r="E428" s="119"/>
      <c r="F428" s="119"/>
      <c r="G428" s="119"/>
      <c r="H428" s="119"/>
      <c r="I428" s="119"/>
      <c r="J428" s="119"/>
      <c r="K428" s="123"/>
      <c r="L428" s="123"/>
      <c r="M428" s="132"/>
      <c r="N428" s="132"/>
      <c r="O428" s="27"/>
      <c r="P428" s="27"/>
      <c r="Q428" s="132"/>
      <c r="R428" s="132"/>
      <c r="S428" s="124"/>
      <c r="T428" s="27"/>
      <c r="U428" s="27"/>
      <c r="V428" s="27"/>
      <c r="W428" s="27"/>
      <c r="X428" s="27"/>
      <c r="Y428" s="27"/>
      <c r="Z428" s="27"/>
      <c r="AA428" s="27"/>
      <c r="AB428" s="27"/>
      <c r="AC428" s="27"/>
      <c r="AD428" s="123"/>
    </row>
    <row r="429" spans="1:30" s="241" customFormat="1" ht="12.75" customHeight="1" x14ac:dyDescent="0.2">
      <c r="A429" s="132"/>
      <c r="B429" s="32"/>
      <c r="C429" s="27"/>
      <c r="D429" s="27"/>
      <c r="E429" s="119"/>
      <c r="F429" s="119"/>
      <c r="G429" s="119"/>
      <c r="H429" s="119"/>
      <c r="I429" s="119"/>
      <c r="J429" s="119"/>
      <c r="K429" s="123"/>
      <c r="L429" s="123"/>
      <c r="M429" s="132"/>
      <c r="N429" s="132"/>
      <c r="O429" s="27"/>
      <c r="P429" s="27"/>
      <c r="Q429" s="132"/>
      <c r="R429" s="132"/>
      <c r="S429" s="124"/>
      <c r="T429" s="27"/>
      <c r="U429" s="27"/>
      <c r="V429" s="27"/>
      <c r="W429" s="27"/>
      <c r="X429" s="27"/>
      <c r="Y429" s="27"/>
      <c r="Z429" s="27"/>
      <c r="AA429" s="27"/>
      <c r="AB429" s="27"/>
      <c r="AC429" s="27"/>
      <c r="AD429" s="123"/>
    </row>
    <row r="430" spans="1:30" s="241" customFormat="1" ht="12.75" customHeight="1" x14ac:dyDescent="0.2">
      <c r="A430" s="132"/>
      <c r="B430" s="32"/>
      <c r="C430" s="27"/>
      <c r="D430" s="27"/>
      <c r="E430" s="119"/>
      <c r="F430" s="119"/>
      <c r="G430" s="119"/>
      <c r="H430" s="119"/>
      <c r="I430" s="119"/>
      <c r="J430" s="119"/>
      <c r="K430" s="123"/>
      <c r="L430" s="123"/>
      <c r="M430" s="132"/>
      <c r="N430" s="132"/>
      <c r="O430" s="27"/>
      <c r="P430" s="27"/>
      <c r="Q430" s="132"/>
      <c r="R430" s="132"/>
      <c r="S430" s="124"/>
      <c r="T430" s="27"/>
      <c r="U430" s="27"/>
      <c r="V430" s="27"/>
      <c r="W430" s="27"/>
      <c r="X430" s="27"/>
      <c r="Y430" s="27"/>
      <c r="Z430" s="27"/>
      <c r="AA430" s="27"/>
      <c r="AB430" s="27"/>
      <c r="AC430" s="27"/>
      <c r="AD430" s="123"/>
    </row>
    <row r="431" spans="1:30" s="241" customFormat="1" ht="12.75" customHeight="1" x14ac:dyDescent="0.2">
      <c r="A431" s="132"/>
      <c r="B431" s="32"/>
      <c r="C431" s="27"/>
      <c r="D431" s="27"/>
      <c r="E431" s="119"/>
      <c r="F431" s="119"/>
      <c r="G431" s="119"/>
      <c r="H431" s="119"/>
      <c r="I431" s="119"/>
      <c r="J431" s="119"/>
      <c r="K431" s="123"/>
      <c r="L431" s="123"/>
      <c r="M431" s="132"/>
      <c r="N431" s="132"/>
      <c r="O431" s="27"/>
      <c r="P431" s="27"/>
      <c r="Q431" s="132"/>
      <c r="R431" s="132"/>
      <c r="S431" s="124"/>
      <c r="T431" s="27"/>
      <c r="U431" s="27"/>
      <c r="V431" s="27"/>
      <c r="W431" s="27"/>
      <c r="X431" s="27"/>
      <c r="Y431" s="27"/>
      <c r="Z431" s="27"/>
      <c r="AA431" s="27"/>
      <c r="AB431" s="27"/>
      <c r="AC431" s="27"/>
      <c r="AD431" s="123"/>
    </row>
    <row r="432" spans="1:30" s="241" customFormat="1" ht="12.75" customHeight="1" x14ac:dyDescent="0.2">
      <c r="A432" s="132"/>
      <c r="B432" s="32"/>
      <c r="C432" s="27"/>
      <c r="D432" s="27"/>
      <c r="E432" s="119"/>
      <c r="F432" s="119"/>
      <c r="G432" s="119"/>
      <c r="H432" s="119"/>
      <c r="I432" s="119"/>
      <c r="J432" s="119"/>
      <c r="K432" s="123"/>
      <c r="L432" s="123"/>
      <c r="M432" s="132"/>
      <c r="N432" s="132"/>
      <c r="O432" s="27"/>
      <c r="P432" s="27"/>
      <c r="Q432" s="132"/>
      <c r="R432" s="132"/>
      <c r="S432" s="124"/>
      <c r="T432" s="27"/>
      <c r="U432" s="27"/>
      <c r="V432" s="27"/>
      <c r="W432" s="27"/>
      <c r="X432" s="27"/>
      <c r="Y432" s="27"/>
      <c r="Z432" s="27"/>
      <c r="AA432" s="27"/>
      <c r="AB432" s="27"/>
      <c r="AC432" s="27"/>
      <c r="AD432" s="123"/>
    </row>
    <row r="433" spans="1:30" s="241" customFormat="1" ht="12.75" customHeight="1" x14ac:dyDescent="0.2">
      <c r="A433" s="132"/>
      <c r="B433" s="32"/>
      <c r="C433" s="27"/>
      <c r="D433" s="27"/>
      <c r="E433" s="119"/>
      <c r="F433" s="119"/>
      <c r="G433" s="119"/>
      <c r="H433" s="119"/>
      <c r="I433" s="119"/>
      <c r="J433" s="119"/>
      <c r="K433" s="123"/>
      <c r="L433" s="123"/>
      <c r="M433" s="132"/>
      <c r="N433" s="132"/>
      <c r="O433" s="27"/>
      <c r="P433" s="27"/>
      <c r="Q433" s="132"/>
      <c r="R433" s="132"/>
      <c r="S433" s="124"/>
      <c r="T433" s="27"/>
      <c r="U433" s="27"/>
      <c r="V433" s="27"/>
      <c r="W433" s="27"/>
      <c r="X433" s="27"/>
      <c r="Y433" s="27"/>
      <c r="Z433" s="27"/>
      <c r="AA433" s="27"/>
      <c r="AB433" s="27"/>
      <c r="AC433" s="27"/>
      <c r="AD433" s="123"/>
    </row>
    <row r="434" spans="1:30" s="241" customFormat="1" ht="12.75" customHeight="1" x14ac:dyDescent="0.2">
      <c r="A434" s="132"/>
      <c r="B434" s="32"/>
      <c r="C434" s="27"/>
      <c r="D434" s="27"/>
      <c r="E434" s="119"/>
      <c r="F434" s="119"/>
      <c r="G434" s="119"/>
      <c r="H434" s="119"/>
      <c r="I434" s="119"/>
      <c r="J434" s="119"/>
      <c r="K434" s="123"/>
      <c r="L434" s="123"/>
      <c r="M434" s="132"/>
      <c r="N434" s="132"/>
      <c r="O434" s="27"/>
      <c r="P434" s="27"/>
      <c r="Q434" s="132"/>
      <c r="R434" s="132"/>
      <c r="S434" s="124"/>
      <c r="T434" s="27"/>
      <c r="U434" s="27"/>
      <c r="V434" s="27"/>
      <c r="W434" s="27"/>
      <c r="X434" s="27"/>
      <c r="Y434" s="27"/>
      <c r="Z434" s="27"/>
      <c r="AA434" s="27"/>
      <c r="AB434" s="27"/>
      <c r="AC434" s="27"/>
      <c r="AD434" s="123"/>
    </row>
    <row r="435" spans="1:30" s="241" customFormat="1" ht="12.75" customHeight="1" x14ac:dyDescent="0.2">
      <c r="A435" s="132"/>
      <c r="B435" s="32"/>
      <c r="C435" s="27"/>
      <c r="D435" s="27"/>
      <c r="E435" s="119"/>
      <c r="F435" s="119"/>
      <c r="G435" s="119"/>
      <c r="H435" s="119"/>
      <c r="I435" s="119"/>
      <c r="J435" s="119"/>
      <c r="K435" s="123"/>
      <c r="L435" s="123"/>
      <c r="M435" s="132"/>
      <c r="N435" s="132"/>
      <c r="O435" s="27"/>
      <c r="P435" s="27"/>
      <c r="Q435" s="132"/>
      <c r="R435" s="132"/>
      <c r="S435" s="124"/>
      <c r="T435" s="27"/>
      <c r="U435" s="27"/>
      <c r="V435" s="27"/>
      <c r="W435" s="27"/>
      <c r="X435" s="27"/>
      <c r="Y435" s="27"/>
      <c r="Z435" s="27"/>
      <c r="AA435" s="27"/>
      <c r="AB435" s="27"/>
      <c r="AC435" s="27"/>
      <c r="AD435" s="123"/>
    </row>
    <row r="436" spans="1:30" s="241" customFormat="1" ht="12.75" customHeight="1" x14ac:dyDescent="0.2">
      <c r="A436" s="132"/>
      <c r="B436" s="32"/>
      <c r="C436" s="27"/>
      <c r="D436" s="27"/>
      <c r="E436" s="119"/>
      <c r="F436" s="119"/>
      <c r="G436" s="119"/>
      <c r="H436" s="119"/>
      <c r="I436" s="119"/>
      <c r="J436" s="119"/>
      <c r="K436" s="123"/>
      <c r="L436" s="123"/>
      <c r="M436" s="132"/>
      <c r="N436" s="132"/>
      <c r="O436" s="27"/>
      <c r="P436" s="27"/>
      <c r="Q436" s="132"/>
      <c r="R436" s="132"/>
      <c r="S436" s="124"/>
      <c r="T436" s="27"/>
      <c r="U436" s="27"/>
      <c r="V436" s="27"/>
      <c r="W436" s="27"/>
      <c r="X436" s="27"/>
      <c r="Y436" s="27"/>
      <c r="Z436" s="27"/>
      <c r="AA436" s="27"/>
      <c r="AB436" s="27"/>
      <c r="AC436" s="27"/>
      <c r="AD436" s="123"/>
    </row>
    <row r="437" spans="1:30" s="241" customFormat="1" ht="12.75" customHeight="1" x14ac:dyDescent="0.2">
      <c r="A437" s="132"/>
      <c r="B437" s="32"/>
      <c r="C437" s="27"/>
      <c r="D437" s="27"/>
      <c r="E437" s="119"/>
      <c r="F437" s="119"/>
      <c r="G437" s="119"/>
      <c r="H437" s="119"/>
      <c r="I437" s="119"/>
      <c r="J437" s="119"/>
      <c r="K437" s="123"/>
      <c r="L437" s="123"/>
      <c r="M437" s="132"/>
      <c r="N437" s="132"/>
      <c r="O437" s="27"/>
      <c r="P437" s="27"/>
      <c r="Q437" s="132"/>
      <c r="R437" s="132"/>
      <c r="S437" s="124"/>
      <c r="T437" s="27"/>
      <c r="U437" s="27"/>
      <c r="V437" s="27"/>
      <c r="W437" s="27"/>
      <c r="X437" s="27"/>
      <c r="Y437" s="27"/>
      <c r="Z437" s="27"/>
      <c r="AA437" s="27"/>
      <c r="AB437" s="27"/>
      <c r="AC437" s="27"/>
      <c r="AD437" s="123"/>
    </row>
    <row r="438" spans="1:30" s="241" customFormat="1" ht="12.75" customHeight="1" x14ac:dyDescent="0.2">
      <c r="A438" s="132"/>
      <c r="B438" s="32"/>
      <c r="C438" s="27"/>
      <c r="D438" s="27"/>
      <c r="E438" s="119"/>
      <c r="F438" s="119"/>
      <c r="G438" s="119"/>
      <c r="H438" s="119"/>
      <c r="I438" s="119"/>
      <c r="J438" s="119"/>
      <c r="K438" s="123"/>
      <c r="L438" s="123"/>
      <c r="M438" s="132"/>
      <c r="N438" s="132"/>
      <c r="O438" s="27"/>
      <c r="P438" s="27"/>
      <c r="Q438" s="132"/>
      <c r="R438" s="132"/>
      <c r="S438" s="124"/>
      <c r="T438" s="27"/>
      <c r="U438" s="27"/>
      <c r="V438" s="27"/>
      <c r="W438" s="27"/>
      <c r="X438" s="27"/>
      <c r="Y438" s="27"/>
      <c r="Z438" s="27"/>
      <c r="AA438" s="27"/>
      <c r="AB438" s="27"/>
      <c r="AC438" s="27"/>
      <c r="AD438" s="123"/>
    </row>
    <row r="439" spans="1:30" s="241" customFormat="1" ht="12.75" customHeight="1" x14ac:dyDescent="0.2">
      <c r="A439" s="132"/>
      <c r="B439" s="32"/>
      <c r="C439" s="27"/>
      <c r="D439" s="27"/>
      <c r="E439" s="119"/>
      <c r="F439" s="119"/>
      <c r="G439" s="119"/>
      <c r="H439" s="119"/>
      <c r="I439" s="119"/>
      <c r="J439" s="119"/>
      <c r="K439" s="123"/>
      <c r="L439" s="123"/>
      <c r="M439" s="132"/>
      <c r="N439" s="132"/>
      <c r="O439" s="27"/>
      <c r="P439" s="27"/>
      <c r="Q439" s="132"/>
      <c r="R439" s="132"/>
      <c r="S439" s="124"/>
      <c r="T439" s="27"/>
      <c r="U439" s="27"/>
      <c r="V439" s="27"/>
      <c r="W439" s="27"/>
      <c r="X439" s="27"/>
      <c r="Y439" s="27"/>
      <c r="Z439" s="27"/>
      <c r="AA439" s="27"/>
      <c r="AB439" s="27"/>
      <c r="AC439" s="27"/>
      <c r="AD439" s="123"/>
    </row>
    <row r="440" spans="1:30" s="241" customFormat="1" ht="12.75" customHeight="1" x14ac:dyDescent="0.2">
      <c r="A440" s="132"/>
      <c r="B440" s="32"/>
      <c r="C440" s="27"/>
      <c r="D440" s="27"/>
      <c r="E440" s="119"/>
      <c r="F440" s="119"/>
      <c r="G440" s="119"/>
      <c r="H440" s="119"/>
      <c r="I440" s="119"/>
      <c r="J440" s="119"/>
      <c r="K440" s="123"/>
      <c r="L440" s="123"/>
      <c r="M440" s="132"/>
      <c r="N440" s="132"/>
      <c r="O440" s="27"/>
      <c r="P440" s="27"/>
      <c r="Q440" s="132"/>
      <c r="R440" s="132"/>
      <c r="S440" s="124"/>
      <c r="T440" s="27"/>
      <c r="U440" s="27"/>
      <c r="V440" s="27"/>
      <c r="W440" s="27"/>
      <c r="X440" s="27"/>
      <c r="Y440" s="27"/>
      <c r="Z440" s="27"/>
      <c r="AA440" s="27"/>
      <c r="AB440" s="27"/>
      <c r="AC440" s="27"/>
      <c r="AD440" s="123"/>
    </row>
    <row r="441" spans="1:30" s="241" customFormat="1" ht="12.75" customHeight="1" x14ac:dyDescent="0.2">
      <c r="A441" s="132"/>
      <c r="B441" s="32"/>
      <c r="C441" s="27"/>
      <c r="D441" s="27"/>
      <c r="E441" s="119"/>
      <c r="F441" s="119"/>
      <c r="G441" s="119"/>
      <c r="H441" s="119"/>
      <c r="I441" s="119"/>
      <c r="J441" s="119"/>
      <c r="K441" s="123"/>
      <c r="L441" s="123"/>
      <c r="M441" s="132"/>
      <c r="N441" s="132"/>
      <c r="O441" s="27"/>
      <c r="P441" s="27"/>
      <c r="Q441" s="132"/>
      <c r="R441" s="132"/>
      <c r="S441" s="124"/>
      <c r="T441" s="27"/>
      <c r="U441" s="27"/>
      <c r="V441" s="27"/>
      <c r="W441" s="27"/>
      <c r="X441" s="27"/>
      <c r="Y441" s="27"/>
      <c r="Z441" s="27"/>
      <c r="AA441" s="27"/>
      <c r="AB441" s="27"/>
      <c r="AC441" s="27"/>
      <c r="AD441" s="123"/>
    </row>
    <row r="442" spans="1:30" s="241" customFormat="1" ht="12.75" customHeight="1" x14ac:dyDescent="0.2">
      <c r="A442" s="132"/>
      <c r="B442" s="32"/>
      <c r="C442" s="27"/>
      <c r="D442" s="27"/>
      <c r="E442" s="119"/>
      <c r="F442" s="119"/>
      <c r="G442" s="119"/>
      <c r="H442" s="119"/>
      <c r="I442" s="119"/>
      <c r="J442" s="119"/>
      <c r="K442" s="123"/>
      <c r="L442" s="123"/>
      <c r="M442" s="132"/>
      <c r="N442" s="132"/>
      <c r="O442" s="27"/>
      <c r="P442" s="27"/>
      <c r="Q442" s="132"/>
      <c r="R442" s="132"/>
      <c r="S442" s="124"/>
      <c r="T442" s="27"/>
      <c r="U442" s="27"/>
      <c r="V442" s="27"/>
      <c r="W442" s="27"/>
      <c r="X442" s="27"/>
      <c r="Y442" s="27"/>
      <c r="Z442" s="27"/>
      <c r="AA442" s="27"/>
      <c r="AB442" s="27"/>
      <c r="AC442" s="27"/>
      <c r="AD442" s="123"/>
    </row>
    <row r="443" spans="1:30" s="241" customFormat="1" ht="12.75" customHeight="1" x14ac:dyDescent="0.2">
      <c r="A443" s="132"/>
      <c r="B443" s="32"/>
      <c r="C443" s="27"/>
      <c r="D443" s="27"/>
      <c r="E443" s="119"/>
      <c r="F443" s="119"/>
      <c r="G443" s="119"/>
      <c r="H443" s="119"/>
      <c r="I443" s="119"/>
      <c r="J443" s="119"/>
      <c r="K443" s="123"/>
      <c r="L443" s="123"/>
      <c r="M443" s="132"/>
      <c r="N443" s="132"/>
      <c r="O443" s="27"/>
      <c r="P443" s="27"/>
      <c r="Q443" s="132"/>
      <c r="R443" s="132"/>
      <c r="S443" s="124"/>
      <c r="T443" s="27"/>
      <c r="U443" s="27"/>
      <c r="V443" s="27"/>
      <c r="W443" s="27"/>
      <c r="X443" s="27"/>
      <c r="Y443" s="27"/>
      <c r="Z443" s="27"/>
      <c r="AA443" s="27"/>
      <c r="AB443" s="27"/>
      <c r="AC443" s="27"/>
      <c r="AD443" s="123"/>
    </row>
    <row r="444" spans="1:30" s="241" customFormat="1" ht="12.75" customHeight="1" x14ac:dyDescent="0.2">
      <c r="A444" s="132"/>
      <c r="B444" s="32"/>
      <c r="C444" s="27"/>
      <c r="D444" s="27"/>
      <c r="E444" s="119"/>
      <c r="F444" s="119"/>
      <c r="G444" s="119"/>
      <c r="H444" s="119"/>
      <c r="I444" s="119"/>
      <c r="J444" s="119"/>
      <c r="K444" s="123"/>
      <c r="L444" s="123"/>
      <c r="M444" s="132"/>
      <c r="N444" s="132"/>
      <c r="O444" s="27"/>
      <c r="P444" s="27"/>
      <c r="Q444" s="132"/>
      <c r="R444" s="132"/>
      <c r="S444" s="124"/>
      <c r="T444" s="27"/>
      <c r="U444" s="27"/>
      <c r="V444" s="27"/>
      <c r="W444" s="27"/>
      <c r="X444" s="27"/>
      <c r="Y444" s="27"/>
      <c r="Z444" s="27"/>
      <c r="AA444" s="27"/>
      <c r="AB444" s="27"/>
      <c r="AC444" s="27"/>
      <c r="AD444" s="123"/>
    </row>
    <row r="445" spans="1:30" s="241" customFormat="1" ht="12.75" customHeight="1" x14ac:dyDescent="0.2">
      <c r="A445" s="132"/>
      <c r="B445" s="32"/>
      <c r="C445" s="27"/>
      <c r="D445" s="27"/>
      <c r="E445" s="119"/>
      <c r="F445" s="119"/>
      <c r="G445" s="119"/>
      <c r="H445" s="119"/>
      <c r="I445" s="119"/>
      <c r="J445" s="119"/>
      <c r="K445" s="123"/>
      <c r="L445" s="123"/>
      <c r="M445" s="132"/>
      <c r="N445" s="132"/>
      <c r="O445" s="27"/>
      <c r="P445" s="27"/>
      <c r="Q445" s="132"/>
      <c r="R445" s="132"/>
      <c r="S445" s="124"/>
      <c r="T445" s="27"/>
      <c r="U445" s="27"/>
      <c r="V445" s="27"/>
      <c r="W445" s="27"/>
      <c r="X445" s="27"/>
      <c r="Y445" s="27"/>
      <c r="Z445" s="27"/>
      <c r="AA445" s="27"/>
      <c r="AB445" s="27"/>
      <c r="AC445" s="27"/>
      <c r="AD445" s="123"/>
    </row>
    <row r="446" spans="1:30" s="241" customFormat="1" ht="12.75" customHeight="1" x14ac:dyDescent="0.2">
      <c r="A446" s="132"/>
      <c r="B446" s="32"/>
      <c r="C446" s="27"/>
      <c r="D446" s="27"/>
      <c r="E446" s="119"/>
      <c r="F446" s="119"/>
      <c r="G446" s="119"/>
      <c r="H446" s="119"/>
      <c r="I446" s="119"/>
      <c r="J446" s="119"/>
      <c r="K446" s="123"/>
      <c r="L446" s="123"/>
      <c r="M446" s="132"/>
      <c r="N446" s="132"/>
      <c r="O446" s="27"/>
      <c r="P446" s="27"/>
      <c r="Q446" s="132"/>
      <c r="R446" s="132"/>
      <c r="S446" s="124"/>
      <c r="T446" s="27"/>
      <c r="U446" s="27"/>
      <c r="V446" s="27"/>
      <c r="W446" s="27"/>
      <c r="X446" s="27"/>
      <c r="Y446" s="27"/>
      <c r="Z446" s="27"/>
      <c r="AA446" s="27"/>
      <c r="AB446" s="27"/>
      <c r="AC446" s="27"/>
      <c r="AD446" s="123"/>
    </row>
    <row r="447" spans="1:30" s="241" customFormat="1" ht="12.75" customHeight="1" x14ac:dyDescent="0.2">
      <c r="A447" s="132"/>
      <c r="B447" s="32"/>
      <c r="C447" s="27"/>
      <c r="D447" s="27"/>
      <c r="E447" s="119"/>
      <c r="F447" s="119"/>
      <c r="G447" s="119"/>
      <c r="H447" s="119"/>
      <c r="I447" s="119"/>
      <c r="J447" s="119"/>
      <c r="K447" s="123"/>
      <c r="L447" s="123"/>
      <c r="M447" s="132"/>
      <c r="N447" s="132"/>
      <c r="O447" s="27"/>
      <c r="P447" s="27"/>
      <c r="Q447" s="132"/>
      <c r="R447" s="132"/>
      <c r="S447" s="124"/>
      <c r="T447" s="27"/>
      <c r="U447" s="27"/>
      <c r="V447" s="27"/>
      <c r="W447" s="27"/>
      <c r="X447" s="27"/>
      <c r="Y447" s="27"/>
      <c r="Z447" s="27"/>
      <c r="AA447" s="27"/>
      <c r="AB447" s="27"/>
      <c r="AC447" s="27"/>
      <c r="AD447" s="123"/>
    </row>
    <row r="448" spans="1:30" s="241" customFormat="1" ht="12.75" customHeight="1" x14ac:dyDescent="0.2">
      <c r="A448" s="132"/>
      <c r="B448" s="32"/>
      <c r="C448" s="27"/>
      <c r="D448" s="27"/>
      <c r="E448" s="119"/>
      <c r="F448" s="119"/>
      <c r="G448" s="119"/>
      <c r="H448" s="119"/>
      <c r="I448" s="119"/>
      <c r="J448" s="119"/>
      <c r="K448" s="123"/>
      <c r="L448" s="123"/>
      <c r="M448" s="132"/>
      <c r="N448" s="132"/>
      <c r="O448" s="27"/>
      <c r="P448" s="27"/>
      <c r="Q448" s="132"/>
      <c r="R448" s="132"/>
      <c r="S448" s="124"/>
      <c r="T448" s="27"/>
      <c r="U448" s="27"/>
      <c r="V448" s="27"/>
      <c r="W448" s="27"/>
      <c r="X448" s="27"/>
      <c r="Y448" s="27"/>
      <c r="Z448" s="27"/>
      <c r="AA448" s="27"/>
      <c r="AB448" s="27"/>
      <c r="AC448" s="27"/>
      <c r="AD448" s="123"/>
    </row>
    <row r="449" spans="1:30" s="241" customFormat="1" ht="12.75" customHeight="1" x14ac:dyDescent="0.2">
      <c r="A449" s="132"/>
      <c r="B449" s="32"/>
      <c r="C449" s="27"/>
      <c r="D449" s="27"/>
      <c r="E449" s="119"/>
      <c r="F449" s="119"/>
      <c r="G449" s="119"/>
      <c r="H449" s="119"/>
      <c r="I449" s="119"/>
      <c r="J449" s="119"/>
      <c r="K449" s="123"/>
      <c r="L449" s="123"/>
      <c r="M449" s="132"/>
      <c r="N449" s="132"/>
      <c r="O449" s="27"/>
      <c r="P449" s="27"/>
      <c r="Q449" s="132"/>
      <c r="R449" s="132"/>
      <c r="S449" s="124"/>
      <c r="T449" s="27"/>
      <c r="U449" s="27"/>
      <c r="V449" s="27"/>
      <c r="W449" s="27"/>
      <c r="X449" s="27"/>
      <c r="Y449" s="27"/>
      <c r="Z449" s="27"/>
      <c r="AA449" s="27"/>
      <c r="AB449" s="27"/>
      <c r="AC449" s="27"/>
      <c r="AD449" s="123"/>
    </row>
    <row r="450" spans="1:30" s="241" customFormat="1" ht="12.75" customHeight="1" x14ac:dyDescent="0.2">
      <c r="A450" s="132"/>
      <c r="B450" s="32"/>
      <c r="C450" s="27"/>
      <c r="D450" s="27"/>
      <c r="E450" s="119"/>
      <c r="F450" s="119"/>
      <c r="G450" s="119"/>
      <c r="H450" s="119"/>
      <c r="I450" s="119"/>
      <c r="J450" s="119"/>
      <c r="K450" s="123"/>
      <c r="L450" s="123"/>
      <c r="M450" s="132"/>
      <c r="N450" s="132"/>
      <c r="O450" s="27"/>
      <c r="P450" s="27"/>
      <c r="Q450" s="132"/>
      <c r="R450" s="132"/>
      <c r="S450" s="124"/>
      <c r="T450" s="27"/>
      <c r="U450" s="27"/>
      <c r="V450" s="27"/>
      <c r="W450" s="27"/>
      <c r="X450" s="27"/>
      <c r="Y450" s="27"/>
      <c r="Z450" s="27"/>
      <c r="AA450" s="27"/>
      <c r="AB450" s="27"/>
      <c r="AC450" s="27"/>
      <c r="AD450" s="123"/>
    </row>
    <row r="451" spans="1:30" s="241" customFormat="1" ht="12.75" customHeight="1" x14ac:dyDescent="0.2">
      <c r="A451" s="132"/>
      <c r="B451" s="32"/>
      <c r="C451" s="27"/>
      <c r="D451" s="27"/>
      <c r="E451" s="119"/>
      <c r="F451" s="119"/>
      <c r="G451" s="119"/>
      <c r="H451" s="119"/>
      <c r="I451" s="119"/>
      <c r="J451" s="119"/>
      <c r="K451" s="123"/>
      <c r="L451" s="123"/>
      <c r="M451" s="132"/>
      <c r="N451" s="132"/>
      <c r="O451" s="27"/>
      <c r="P451" s="27"/>
      <c r="Q451" s="132"/>
      <c r="R451" s="132"/>
      <c r="S451" s="124"/>
      <c r="T451" s="27"/>
      <c r="U451" s="27"/>
      <c r="V451" s="27"/>
      <c r="W451" s="27"/>
      <c r="X451" s="27"/>
      <c r="Y451" s="27"/>
      <c r="Z451" s="27"/>
      <c r="AA451" s="27"/>
      <c r="AB451" s="27"/>
      <c r="AC451" s="27"/>
      <c r="AD451" s="123"/>
    </row>
    <row r="452" spans="1:30" s="241" customFormat="1" ht="12.75" customHeight="1" x14ac:dyDescent="0.2">
      <c r="A452" s="132"/>
      <c r="B452" s="32"/>
      <c r="C452" s="27"/>
      <c r="D452" s="27"/>
      <c r="E452" s="119"/>
      <c r="F452" s="119"/>
      <c r="G452" s="119"/>
      <c r="H452" s="119"/>
      <c r="I452" s="119"/>
      <c r="J452" s="119"/>
      <c r="K452" s="123"/>
      <c r="L452" s="123"/>
      <c r="M452" s="132"/>
      <c r="N452" s="132"/>
      <c r="O452" s="27"/>
      <c r="P452" s="27"/>
      <c r="Q452" s="132"/>
      <c r="R452" s="132"/>
      <c r="S452" s="124"/>
      <c r="T452" s="27"/>
      <c r="U452" s="27"/>
      <c r="V452" s="27"/>
      <c r="W452" s="27"/>
      <c r="X452" s="27"/>
      <c r="Y452" s="27"/>
      <c r="Z452" s="27"/>
      <c r="AA452" s="27"/>
      <c r="AB452" s="27"/>
      <c r="AC452" s="27"/>
      <c r="AD452" s="123"/>
    </row>
    <row r="453" spans="1:30" s="241" customFormat="1" ht="12.75" customHeight="1" x14ac:dyDescent="0.2">
      <c r="A453" s="132"/>
      <c r="B453" s="32"/>
      <c r="C453" s="27"/>
      <c r="D453" s="27"/>
      <c r="E453" s="119"/>
      <c r="F453" s="119"/>
      <c r="G453" s="119"/>
      <c r="H453" s="119"/>
      <c r="I453" s="119"/>
      <c r="J453" s="119"/>
      <c r="K453" s="123"/>
      <c r="L453" s="123"/>
      <c r="M453" s="132"/>
      <c r="N453" s="132"/>
      <c r="O453" s="27"/>
      <c r="P453" s="27"/>
      <c r="Q453" s="132"/>
      <c r="R453" s="132"/>
      <c r="S453" s="124"/>
      <c r="T453" s="27"/>
      <c r="U453" s="27"/>
      <c r="V453" s="27"/>
      <c r="W453" s="27"/>
      <c r="X453" s="27"/>
      <c r="Y453" s="27"/>
      <c r="Z453" s="27"/>
      <c r="AA453" s="27"/>
      <c r="AB453" s="27"/>
      <c r="AC453" s="27"/>
      <c r="AD453" s="123"/>
    </row>
    <row r="454" spans="1:30" s="241" customFormat="1" ht="12.75" customHeight="1" x14ac:dyDescent="0.2">
      <c r="A454" s="132"/>
      <c r="B454" s="32"/>
      <c r="C454" s="27"/>
      <c r="D454" s="27"/>
      <c r="E454" s="119"/>
      <c r="F454" s="119"/>
      <c r="G454" s="119"/>
      <c r="H454" s="119"/>
      <c r="I454" s="119"/>
      <c r="J454" s="119"/>
      <c r="K454" s="123"/>
      <c r="L454" s="123"/>
      <c r="M454" s="132"/>
      <c r="N454" s="132"/>
      <c r="O454" s="27"/>
      <c r="P454" s="27"/>
      <c r="Q454" s="132"/>
      <c r="R454" s="132"/>
      <c r="S454" s="124"/>
      <c r="T454" s="27"/>
      <c r="U454" s="27"/>
      <c r="V454" s="27"/>
      <c r="W454" s="27"/>
      <c r="X454" s="27"/>
      <c r="Y454" s="27"/>
      <c r="Z454" s="27"/>
      <c r="AA454" s="27"/>
      <c r="AB454" s="27"/>
      <c r="AC454" s="27"/>
      <c r="AD454" s="123"/>
    </row>
    <row r="455" spans="1:30" s="241" customFormat="1" ht="12.75" customHeight="1" x14ac:dyDescent="0.2">
      <c r="A455" s="132"/>
      <c r="B455" s="32"/>
      <c r="C455" s="27"/>
      <c r="D455" s="27"/>
      <c r="E455" s="119"/>
      <c r="F455" s="119"/>
      <c r="G455" s="119"/>
      <c r="H455" s="119"/>
      <c r="I455" s="119"/>
      <c r="J455" s="119"/>
      <c r="K455" s="123"/>
      <c r="L455" s="123"/>
      <c r="M455" s="132"/>
      <c r="N455" s="132"/>
      <c r="O455" s="27"/>
      <c r="P455" s="27"/>
      <c r="Q455" s="132"/>
      <c r="R455" s="132"/>
      <c r="S455" s="124"/>
      <c r="T455" s="27"/>
      <c r="U455" s="27"/>
      <c r="V455" s="27"/>
      <c r="W455" s="27"/>
      <c r="X455" s="27"/>
      <c r="Y455" s="27"/>
      <c r="Z455" s="27"/>
      <c r="AA455" s="27"/>
      <c r="AB455" s="27"/>
      <c r="AC455" s="27"/>
      <c r="AD455" s="123"/>
    </row>
    <row r="456" spans="1:30" s="241" customFormat="1" ht="12.75" customHeight="1" x14ac:dyDescent="0.2">
      <c r="A456" s="132"/>
      <c r="B456" s="32"/>
      <c r="C456" s="27"/>
      <c r="D456" s="27"/>
      <c r="E456" s="119"/>
      <c r="F456" s="119"/>
      <c r="G456" s="119"/>
      <c r="H456" s="119"/>
      <c r="I456" s="119"/>
      <c r="J456" s="119"/>
      <c r="K456" s="123"/>
      <c r="L456" s="123"/>
      <c r="M456" s="132"/>
      <c r="N456" s="132"/>
      <c r="O456" s="27"/>
      <c r="P456" s="27"/>
      <c r="Q456" s="132"/>
      <c r="R456" s="132"/>
      <c r="S456" s="124"/>
      <c r="T456" s="27"/>
      <c r="U456" s="27"/>
      <c r="V456" s="27"/>
      <c r="W456" s="27"/>
      <c r="X456" s="27"/>
      <c r="Y456" s="27"/>
      <c r="Z456" s="27"/>
      <c r="AA456" s="27"/>
      <c r="AB456" s="27"/>
      <c r="AC456" s="27"/>
      <c r="AD456" s="123"/>
    </row>
    <row r="457" spans="1:30" s="241" customFormat="1" ht="12.75" customHeight="1" x14ac:dyDescent="0.2">
      <c r="A457" s="132"/>
      <c r="B457" s="32"/>
      <c r="C457" s="27"/>
      <c r="D457" s="27"/>
      <c r="E457" s="119"/>
      <c r="F457" s="119"/>
      <c r="G457" s="119"/>
      <c r="H457" s="119"/>
      <c r="I457" s="119"/>
      <c r="J457" s="119"/>
      <c r="K457" s="123"/>
      <c r="L457" s="123"/>
      <c r="M457" s="132"/>
      <c r="N457" s="132"/>
      <c r="O457" s="27"/>
      <c r="P457" s="27"/>
      <c r="Q457" s="132"/>
      <c r="R457" s="132"/>
      <c r="S457" s="124"/>
      <c r="T457" s="27"/>
      <c r="U457" s="27"/>
      <c r="V457" s="27"/>
      <c r="W457" s="27"/>
      <c r="X457" s="27"/>
      <c r="Y457" s="27"/>
      <c r="Z457" s="27"/>
      <c r="AA457" s="27"/>
      <c r="AB457" s="27"/>
      <c r="AC457" s="27"/>
      <c r="AD457" s="123"/>
    </row>
    <row r="458" spans="1:30" s="241" customFormat="1" ht="12.75" customHeight="1" x14ac:dyDescent="0.2">
      <c r="A458" s="132"/>
      <c r="B458" s="32"/>
      <c r="C458" s="27"/>
      <c r="D458" s="27"/>
      <c r="E458" s="119"/>
      <c r="F458" s="119"/>
      <c r="G458" s="119"/>
      <c r="H458" s="119"/>
      <c r="I458" s="119"/>
      <c r="J458" s="119"/>
      <c r="K458" s="123"/>
      <c r="L458" s="123"/>
      <c r="M458" s="132"/>
      <c r="N458" s="132"/>
      <c r="O458" s="27"/>
      <c r="P458" s="27"/>
      <c r="Q458" s="132"/>
      <c r="R458" s="132"/>
      <c r="S458" s="124"/>
      <c r="T458" s="27"/>
      <c r="U458" s="27"/>
      <c r="V458" s="27"/>
      <c r="W458" s="27"/>
      <c r="X458" s="27"/>
      <c r="Y458" s="27"/>
      <c r="Z458" s="27"/>
      <c r="AA458" s="27"/>
      <c r="AB458" s="27"/>
      <c r="AC458" s="27"/>
      <c r="AD458" s="123"/>
    </row>
    <row r="459" spans="1:30" s="241" customFormat="1" ht="12.75" customHeight="1" x14ac:dyDescent="0.2">
      <c r="A459" s="132"/>
      <c r="B459" s="32"/>
      <c r="C459" s="27"/>
      <c r="D459" s="27"/>
      <c r="E459" s="119"/>
      <c r="F459" s="119"/>
      <c r="G459" s="119"/>
      <c r="H459" s="119"/>
      <c r="I459" s="119"/>
      <c r="J459" s="119"/>
      <c r="K459" s="123"/>
      <c r="L459" s="123"/>
      <c r="M459" s="132"/>
      <c r="N459" s="132"/>
      <c r="O459" s="27"/>
      <c r="P459" s="27"/>
      <c r="Q459" s="132"/>
      <c r="R459" s="132"/>
      <c r="S459" s="124"/>
      <c r="T459" s="27"/>
      <c r="U459" s="27"/>
      <c r="V459" s="27"/>
      <c r="W459" s="27"/>
      <c r="X459" s="27"/>
      <c r="Y459" s="27"/>
      <c r="Z459" s="27"/>
      <c r="AA459" s="27"/>
      <c r="AB459" s="27"/>
      <c r="AC459" s="27"/>
      <c r="AD459" s="123"/>
    </row>
    <row r="460" spans="1:30" s="241" customFormat="1" ht="12.75" customHeight="1" x14ac:dyDescent="0.2">
      <c r="A460" s="132"/>
      <c r="B460" s="32"/>
      <c r="C460" s="27"/>
      <c r="D460" s="27"/>
      <c r="E460" s="119"/>
      <c r="F460" s="119"/>
      <c r="G460" s="119"/>
      <c r="H460" s="119"/>
      <c r="I460" s="119"/>
      <c r="J460" s="119"/>
      <c r="K460" s="123"/>
      <c r="L460" s="123"/>
      <c r="M460" s="132"/>
      <c r="N460" s="132"/>
      <c r="O460" s="27"/>
      <c r="P460" s="27"/>
      <c r="Q460" s="132"/>
      <c r="R460" s="132"/>
      <c r="S460" s="124"/>
      <c r="T460" s="27"/>
      <c r="U460" s="27"/>
      <c r="V460" s="27"/>
      <c r="W460" s="27"/>
      <c r="X460" s="27"/>
      <c r="Y460" s="27"/>
      <c r="Z460" s="27"/>
      <c r="AA460" s="27"/>
      <c r="AB460" s="27"/>
      <c r="AC460" s="27"/>
      <c r="AD460" s="123"/>
    </row>
    <row r="461" spans="1:30" s="241" customFormat="1" ht="12.75" customHeight="1" x14ac:dyDescent="0.2">
      <c r="A461" s="132"/>
      <c r="B461" s="32"/>
      <c r="C461" s="27"/>
      <c r="D461" s="27"/>
      <c r="E461" s="119"/>
      <c r="F461" s="119"/>
      <c r="G461" s="119"/>
      <c r="H461" s="119"/>
      <c r="I461" s="119"/>
      <c r="J461" s="119"/>
      <c r="K461" s="123"/>
      <c r="L461" s="123"/>
      <c r="M461" s="132"/>
      <c r="N461" s="132"/>
      <c r="O461" s="27"/>
      <c r="P461" s="27"/>
      <c r="Q461" s="132"/>
      <c r="R461" s="132"/>
      <c r="S461" s="124"/>
      <c r="T461" s="27"/>
      <c r="U461" s="27"/>
      <c r="V461" s="27"/>
      <c r="W461" s="27"/>
      <c r="X461" s="27"/>
      <c r="Y461" s="27"/>
      <c r="Z461" s="27"/>
      <c r="AA461" s="27"/>
      <c r="AB461" s="27"/>
      <c r="AC461" s="27"/>
      <c r="AD461" s="123"/>
    </row>
    <row r="462" spans="1:30" s="241" customFormat="1" ht="12.75" customHeight="1" x14ac:dyDescent="0.2">
      <c r="A462" s="132"/>
      <c r="B462" s="32"/>
      <c r="C462" s="27"/>
      <c r="D462" s="27"/>
      <c r="E462" s="119"/>
      <c r="F462" s="119"/>
      <c r="G462" s="119"/>
      <c r="H462" s="119"/>
      <c r="I462" s="119"/>
      <c r="J462" s="119"/>
      <c r="K462" s="123"/>
      <c r="L462" s="123"/>
      <c r="M462" s="132"/>
      <c r="N462" s="132"/>
      <c r="O462" s="27"/>
      <c r="P462" s="27"/>
      <c r="Q462" s="132"/>
      <c r="R462" s="132"/>
      <c r="S462" s="124"/>
      <c r="T462" s="27"/>
      <c r="U462" s="27"/>
      <c r="V462" s="27"/>
      <c r="W462" s="27"/>
      <c r="X462" s="27"/>
      <c r="Y462" s="27"/>
      <c r="Z462" s="27"/>
      <c r="AA462" s="27"/>
      <c r="AB462" s="27"/>
      <c r="AC462" s="27"/>
      <c r="AD462" s="123"/>
    </row>
    <row r="463" spans="1:30" s="241" customFormat="1" ht="12.75" customHeight="1" x14ac:dyDescent="0.2">
      <c r="A463" s="132"/>
      <c r="B463" s="32"/>
      <c r="C463" s="27"/>
      <c r="D463" s="27"/>
      <c r="E463" s="119"/>
      <c r="F463" s="119"/>
      <c r="G463" s="119"/>
      <c r="H463" s="119"/>
      <c r="I463" s="119"/>
      <c r="J463" s="119"/>
      <c r="K463" s="123"/>
      <c r="L463" s="123"/>
      <c r="M463" s="132"/>
      <c r="N463" s="132"/>
      <c r="O463" s="27"/>
      <c r="P463" s="27"/>
      <c r="Q463" s="132"/>
      <c r="R463" s="132"/>
      <c r="S463" s="124"/>
      <c r="T463" s="27"/>
      <c r="U463" s="27"/>
      <c r="V463" s="27"/>
      <c r="W463" s="27"/>
      <c r="X463" s="27"/>
      <c r="Y463" s="27"/>
      <c r="Z463" s="27"/>
      <c r="AA463" s="27"/>
      <c r="AB463" s="27"/>
      <c r="AC463" s="27"/>
      <c r="AD463" s="123"/>
    </row>
    <row r="464" spans="1:30" s="241" customFormat="1" ht="12.75" customHeight="1" x14ac:dyDescent="0.2">
      <c r="A464" s="132"/>
      <c r="B464" s="32"/>
      <c r="C464" s="27"/>
      <c r="D464" s="27"/>
      <c r="E464" s="119"/>
      <c r="F464" s="119"/>
      <c r="G464" s="119"/>
      <c r="H464" s="119"/>
      <c r="I464" s="119"/>
      <c r="J464" s="119"/>
      <c r="K464" s="123"/>
      <c r="L464" s="123"/>
      <c r="M464" s="132"/>
      <c r="N464" s="132"/>
      <c r="O464" s="27"/>
      <c r="P464" s="27"/>
      <c r="Q464" s="132"/>
      <c r="R464" s="132"/>
      <c r="S464" s="124"/>
      <c r="T464" s="27"/>
      <c r="U464" s="27"/>
      <c r="V464" s="27"/>
      <c r="W464" s="27"/>
      <c r="X464" s="27"/>
      <c r="Y464" s="27"/>
      <c r="Z464" s="27"/>
      <c r="AA464" s="27"/>
      <c r="AB464" s="27"/>
      <c r="AC464" s="27"/>
      <c r="AD464" s="123"/>
    </row>
    <row r="465" spans="1:30" s="241" customFormat="1" ht="12.75" customHeight="1" x14ac:dyDescent="0.2">
      <c r="A465" s="132"/>
      <c r="B465" s="32"/>
      <c r="C465" s="27"/>
      <c r="D465" s="27"/>
      <c r="E465" s="119"/>
      <c r="F465" s="119"/>
      <c r="G465" s="119"/>
      <c r="H465" s="119"/>
      <c r="I465" s="119"/>
      <c r="J465" s="119"/>
      <c r="K465" s="123"/>
      <c r="L465" s="123"/>
      <c r="M465" s="132"/>
      <c r="N465" s="132"/>
      <c r="O465" s="27"/>
      <c r="P465" s="27"/>
      <c r="Q465" s="132"/>
      <c r="R465" s="132"/>
      <c r="S465" s="124"/>
      <c r="T465" s="27"/>
      <c r="U465" s="27"/>
      <c r="V465" s="27"/>
      <c r="W465" s="27"/>
      <c r="X465" s="27"/>
      <c r="Y465" s="27"/>
      <c r="Z465" s="27"/>
      <c r="AA465" s="27"/>
      <c r="AB465" s="27"/>
      <c r="AC465" s="27"/>
      <c r="AD465" s="123"/>
    </row>
    <row r="466" spans="1:30" s="241" customFormat="1" ht="12.75" customHeight="1" x14ac:dyDescent="0.2">
      <c r="A466" s="132"/>
      <c r="B466" s="32"/>
      <c r="C466" s="27"/>
      <c r="D466" s="27"/>
      <c r="E466" s="119"/>
      <c r="F466" s="119"/>
      <c r="G466" s="119"/>
      <c r="H466" s="119"/>
      <c r="I466" s="119"/>
      <c r="J466" s="119"/>
      <c r="K466" s="123"/>
      <c r="L466" s="123"/>
      <c r="M466" s="132"/>
      <c r="N466" s="132"/>
      <c r="O466" s="27"/>
      <c r="P466" s="27"/>
      <c r="Q466" s="132"/>
      <c r="R466" s="132"/>
      <c r="S466" s="124"/>
      <c r="T466" s="27"/>
      <c r="U466" s="27"/>
      <c r="V466" s="27"/>
      <c r="W466" s="27"/>
      <c r="X466" s="27"/>
      <c r="Y466" s="27"/>
      <c r="Z466" s="27"/>
      <c r="AA466" s="27"/>
      <c r="AB466" s="27"/>
      <c r="AC466" s="27"/>
      <c r="AD466" s="123"/>
    </row>
    <row r="467" spans="1:30" s="241" customFormat="1" ht="12.75" customHeight="1" x14ac:dyDescent="0.2">
      <c r="A467" s="132"/>
      <c r="B467" s="32"/>
      <c r="C467" s="27"/>
      <c r="D467" s="27"/>
      <c r="E467" s="119"/>
      <c r="F467" s="119"/>
      <c r="G467" s="119"/>
      <c r="H467" s="119"/>
      <c r="I467" s="119"/>
      <c r="J467" s="119"/>
      <c r="K467" s="123"/>
      <c r="L467" s="123"/>
      <c r="M467" s="132"/>
      <c r="N467" s="132"/>
      <c r="O467" s="27"/>
      <c r="P467" s="27"/>
      <c r="Q467" s="132"/>
      <c r="R467" s="132"/>
      <c r="S467" s="124"/>
      <c r="T467" s="27"/>
      <c r="U467" s="27"/>
      <c r="V467" s="27"/>
      <c r="W467" s="27"/>
      <c r="X467" s="27"/>
      <c r="Y467" s="27"/>
      <c r="Z467" s="27"/>
      <c r="AA467" s="27"/>
      <c r="AB467" s="27"/>
      <c r="AC467" s="27"/>
      <c r="AD467" s="123"/>
    </row>
    <row r="468" spans="1:30" s="241" customFormat="1" ht="12.75" customHeight="1" x14ac:dyDescent="0.2">
      <c r="A468" s="132"/>
      <c r="B468" s="32"/>
      <c r="C468" s="27"/>
      <c r="D468" s="27"/>
      <c r="E468" s="119"/>
      <c r="F468" s="119"/>
      <c r="G468" s="119"/>
      <c r="H468" s="119"/>
      <c r="I468" s="119"/>
      <c r="J468" s="119"/>
      <c r="K468" s="123"/>
      <c r="L468" s="123"/>
      <c r="M468" s="132"/>
      <c r="N468" s="132"/>
      <c r="O468" s="27"/>
      <c r="P468" s="27"/>
      <c r="Q468" s="132"/>
      <c r="R468" s="132"/>
      <c r="S468" s="124"/>
      <c r="T468" s="27"/>
      <c r="U468" s="27"/>
      <c r="V468" s="27"/>
      <c r="W468" s="27"/>
      <c r="X468" s="27"/>
      <c r="Y468" s="27"/>
      <c r="Z468" s="27"/>
      <c r="AA468" s="27"/>
      <c r="AB468" s="27"/>
      <c r="AC468" s="27"/>
      <c r="AD468" s="123"/>
    </row>
    <row r="469" spans="1:30" s="241" customFormat="1" ht="12.75" customHeight="1" x14ac:dyDescent="0.2">
      <c r="A469" s="132"/>
      <c r="B469" s="32"/>
      <c r="C469" s="27"/>
      <c r="D469" s="27"/>
      <c r="E469" s="119"/>
      <c r="F469" s="119"/>
      <c r="G469" s="119"/>
      <c r="H469" s="119"/>
      <c r="I469" s="119"/>
      <c r="J469" s="119"/>
      <c r="K469" s="123"/>
      <c r="L469" s="123"/>
      <c r="M469" s="132"/>
      <c r="N469" s="132"/>
      <c r="O469" s="27"/>
      <c r="P469" s="27"/>
      <c r="Q469" s="132"/>
      <c r="R469" s="132"/>
      <c r="S469" s="124"/>
      <c r="T469" s="27"/>
      <c r="U469" s="27"/>
      <c r="V469" s="27"/>
      <c r="W469" s="27"/>
      <c r="X469" s="27"/>
      <c r="Y469" s="27"/>
      <c r="Z469" s="27"/>
      <c r="AA469" s="27"/>
      <c r="AB469" s="27"/>
      <c r="AC469" s="27"/>
      <c r="AD469" s="123"/>
    </row>
    <row r="470" spans="1:30" s="241" customFormat="1" ht="12.75" customHeight="1" x14ac:dyDescent="0.2">
      <c r="A470" s="132"/>
      <c r="B470" s="32"/>
      <c r="C470" s="27"/>
      <c r="D470" s="27"/>
      <c r="E470" s="119"/>
      <c r="F470" s="119"/>
      <c r="G470" s="119"/>
      <c r="H470" s="119"/>
      <c r="I470" s="119"/>
      <c r="J470" s="119"/>
      <c r="K470" s="123"/>
      <c r="L470" s="123"/>
      <c r="M470" s="132"/>
      <c r="N470" s="132"/>
      <c r="O470" s="27"/>
      <c r="P470" s="27"/>
      <c r="Q470" s="132"/>
      <c r="R470" s="132"/>
      <c r="S470" s="124"/>
      <c r="T470" s="27"/>
      <c r="U470" s="27"/>
      <c r="V470" s="27"/>
      <c r="W470" s="27"/>
      <c r="X470" s="27"/>
      <c r="Y470" s="27"/>
      <c r="Z470" s="27"/>
      <c r="AA470" s="27"/>
      <c r="AB470" s="27"/>
      <c r="AC470" s="27"/>
      <c r="AD470" s="123"/>
    </row>
    <row r="471" spans="1:30" s="241" customFormat="1" ht="12.75" customHeight="1" x14ac:dyDescent="0.2">
      <c r="A471" s="132"/>
      <c r="B471" s="32"/>
      <c r="C471" s="27"/>
      <c r="D471" s="27"/>
      <c r="E471" s="119"/>
      <c r="F471" s="119"/>
      <c r="G471" s="119"/>
      <c r="H471" s="119"/>
      <c r="I471" s="119"/>
      <c r="J471" s="119"/>
      <c r="K471" s="123"/>
      <c r="L471" s="123"/>
      <c r="M471" s="132"/>
      <c r="N471" s="132"/>
      <c r="O471" s="27"/>
      <c r="P471" s="27"/>
      <c r="Q471" s="132"/>
      <c r="R471" s="132"/>
      <c r="S471" s="124"/>
      <c r="T471" s="27"/>
      <c r="U471" s="27"/>
      <c r="V471" s="27"/>
      <c r="W471" s="27"/>
      <c r="X471" s="27"/>
      <c r="Y471" s="27"/>
      <c r="Z471" s="27"/>
      <c r="AA471" s="27"/>
      <c r="AB471" s="27"/>
      <c r="AC471" s="27"/>
      <c r="AD471" s="123"/>
    </row>
    <row r="472" spans="1:30" s="241" customFormat="1" ht="12.75" customHeight="1" x14ac:dyDescent="0.2">
      <c r="A472" s="132"/>
      <c r="B472" s="32"/>
      <c r="C472" s="27"/>
      <c r="D472" s="27"/>
      <c r="E472" s="119"/>
      <c r="F472" s="119"/>
      <c r="G472" s="119"/>
      <c r="H472" s="119"/>
      <c r="I472" s="119"/>
      <c r="J472" s="119"/>
      <c r="K472" s="123"/>
      <c r="L472" s="123"/>
      <c r="M472" s="132"/>
      <c r="N472" s="132"/>
      <c r="O472" s="27"/>
      <c r="P472" s="27"/>
      <c r="Q472" s="132"/>
      <c r="R472" s="132"/>
      <c r="S472" s="124"/>
      <c r="T472" s="27"/>
      <c r="U472" s="27"/>
      <c r="V472" s="27"/>
      <c r="W472" s="27"/>
      <c r="X472" s="27"/>
      <c r="Y472" s="27"/>
      <c r="Z472" s="27"/>
      <c r="AA472" s="27"/>
      <c r="AB472" s="27"/>
      <c r="AC472" s="27"/>
      <c r="AD472" s="123"/>
    </row>
    <row r="473" spans="1:30" s="241" customFormat="1" ht="12.75" customHeight="1" x14ac:dyDescent="0.2">
      <c r="A473" s="132"/>
      <c r="B473" s="32"/>
      <c r="C473" s="27"/>
      <c r="D473" s="27"/>
      <c r="E473" s="119"/>
      <c r="F473" s="119"/>
      <c r="G473" s="119"/>
      <c r="H473" s="119"/>
      <c r="I473" s="119"/>
      <c r="J473" s="119"/>
      <c r="K473" s="123"/>
      <c r="L473" s="123"/>
      <c r="M473" s="132"/>
      <c r="N473" s="132"/>
      <c r="O473" s="27"/>
      <c r="P473" s="27"/>
      <c r="Q473" s="132"/>
      <c r="R473" s="132"/>
      <c r="S473" s="124"/>
      <c r="T473" s="27"/>
      <c r="U473" s="27"/>
      <c r="V473" s="27"/>
      <c r="W473" s="27"/>
      <c r="X473" s="27"/>
      <c r="Y473" s="27"/>
      <c r="Z473" s="27"/>
      <c r="AA473" s="27"/>
      <c r="AB473" s="27"/>
      <c r="AC473" s="27"/>
      <c r="AD473" s="123"/>
    </row>
    <row r="474" spans="1:30" s="241" customFormat="1" ht="12.75" customHeight="1" x14ac:dyDescent="0.2">
      <c r="A474" s="132"/>
      <c r="B474" s="32"/>
      <c r="C474" s="27"/>
      <c r="D474" s="27"/>
      <c r="E474" s="119"/>
      <c r="F474" s="119"/>
      <c r="G474" s="119"/>
      <c r="H474" s="119"/>
      <c r="I474" s="119"/>
      <c r="J474" s="119"/>
      <c r="K474" s="123"/>
      <c r="L474" s="123"/>
      <c r="M474" s="132"/>
      <c r="N474" s="132"/>
      <c r="O474" s="27"/>
      <c r="P474" s="27"/>
      <c r="Q474" s="132"/>
      <c r="R474" s="132"/>
      <c r="S474" s="124"/>
      <c r="T474" s="27"/>
      <c r="U474" s="27"/>
      <c r="V474" s="27"/>
      <c r="W474" s="27"/>
      <c r="X474" s="27"/>
      <c r="Y474" s="27"/>
      <c r="Z474" s="27"/>
      <c r="AA474" s="27"/>
      <c r="AB474" s="27"/>
      <c r="AC474" s="27"/>
      <c r="AD474" s="123"/>
    </row>
    <row r="475" spans="1:30" s="241" customFormat="1" ht="12.75" customHeight="1" x14ac:dyDescent="0.2">
      <c r="A475" s="132"/>
      <c r="B475" s="32"/>
      <c r="C475" s="27"/>
      <c r="D475" s="27"/>
      <c r="E475" s="119"/>
      <c r="F475" s="119"/>
      <c r="G475" s="119"/>
      <c r="H475" s="119"/>
      <c r="I475" s="119"/>
      <c r="J475" s="119"/>
      <c r="K475" s="123"/>
      <c r="L475" s="123"/>
      <c r="M475" s="132"/>
      <c r="N475" s="132"/>
      <c r="O475" s="27"/>
      <c r="P475" s="27"/>
      <c r="Q475" s="132"/>
      <c r="R475" s="132"/>
      <c r="S475" s="124"/>
      <c r="T475" s="27"/>
      <c r="U475" s="27"/>
      <c r="V475" s="27"/>
      <c r="W475" s="27"/>
      <c r="X475" s="27"/>
      <c r="Y475" s="27"/>
      <c r="Z475" s="27"/>
      <c r="AA475" s="27"/>
      <c r="AB475" s="27"/>
      <c r="AC475" s="27"/>
      <c r="AD475" s="123"/>
    </row>
    <row r="476" spans="1:30" s="241" customFormat="1" ht="12.75" customHeight="1" x14ac:dyDescent="0.2">
      <c r="A476" s="132"/>
      <c r="B476" s="32"/>
      <c r="C476" s="27"/>
      <c r="D476" s="27"/>
      <c r="E476" s="119"/>
      <c r="F476" s="119"/>
      <c r="G476" s="119"/>
      <c r="H476" s="119"/>
      <c r="I476" s="119"/>
      <c r="J476" s="119"/>
      <c r="K476" s="123"/>
      <c r="L476" s="123"/>
      <c r="M476" s="132"/>
      <c r="N476" s="132"/>
      <c r="O476" s="27"/>
      <c r="P476" s="27"/>
      <c r="Q476" s="132"/>
      <c r="R476" s="132"/>
      <c r="S476" s="124"/>
      <c r="T476" s="27"/>
      <c r="U476" s="27"/>
      <c r="V476" s="27"/>
      <c r="W476" s="27"/>
      <c r="X476" s="27"/>
      <c r="Y476" s="27"/>
      <c r="Z476" s="27"/>
      <c r="AA476" s="27"/>
      <c r="AB476" s="27"/>
      <c r="AC476" s="27"/>
      <c r="AD476" s="123"/>
    </row>
    <row r="477" spans="1:30" s="241" customFormat="1" ht="12.75" customHeight="1" x14ac:dyDescent="0.2">
      <c r="A477" s="132"/>
      <c r="B477" s="32"/>
      <c r="C477" s="27"/>
      <c r="D477" s="27"/>
      <c r="E477" s="119"/>
      <c r="F477" s="119"/>
      <c r="G477" s="119"/>
      <c r="H477" s="119"/>
      <c r="I477" s="119"/>
      <c r="J477" s="119"/>
      <c r="K477" s="123"/>
      <c r="L477" s="123"/>
      <c r="M477" s="132"/>
      <c r="N477" s="132"/>
      <c r="O477" s="27"/>
      <c r="P477" s="27"/>
      <c r="Q477" s="132"/>
      <c r="R477" s="132"/>
      <c r="S477" s="124"/>
      <c r="T477" s="27"/>
      <c r="U477" s="27"/>
      <c r="V477" s="27"/>
      <c r="W477" s="27"/>
      <c r="X477" s="27"/>
      <c r="Y477" s="27"/>
      <c r="Z477" s="27"/>
      <c r="AA477" s="27"/>
      <c r="AB477" s="27"/>
      <c r="AC477" s="27"/>
      <c r="AD477" s="123"/>
    </row>
    <row r="478" spans="1:30" s="241" customFormat="1" ht="12.75" customHeight="1" x14ac:dyDescent="0.2">
      <c r="A478" s="132"/>
      <c r="B478" s="32"/>
      <c r="C478" s="27"/>
      <c r="D478" s="27"/>
      <c r="E478" s="119"/>
      <c r="F478" s="119"/>
      <c r="G478" s="119"/>
      <c r="H478" s="119"/>
      <c r="I478" s="119"/>
      <c r="J478" s="119"/>
      <c r="K478" s="123"/>
      <c r="L478" s="123"/>
      <c r="M478" s="132"/>
      <c r="N478" s="132"/>
      <c r="O478" s="27"/>
      <c r="P478" s="27"/>
      <c r="Q478" s="132"/>
      <c r="R478" s="132"/>
      <c r="S478" s="124"/>
      <c r="T478" s="27"/>
      <c r="U478" s="27"/>
      <c r="V478" s="27"/>
      <c r="W478" s="27"/>
      <c r="X478" s="27"/>
      <c r="Y478" s="27"/>
      <c r="Z478" s="27"/>
      <c r="AA478" s="27"/>
      <c r="AB478" s="27"/>
      <c r="AC478" s="27"/>
      <c r="AD478" s="123"/>
    </row>
    <row r="479" spans="1:30" s="241" customFormat="1" ht="12.75" customHeight="1" x14ac:dyDescent="0.2">
      <c r="A479" s="132"/>
      <c r="B479" s="32"/>
      <c r="C479" s="27"/>
      <c r="D479" s="27"/>
      <c r="E479" s="119"/>
      <c r="F479" s="119"/>
      <c r="G479" s="119"/>
      <c r="H479" s="119"/>
      <c r="I479" s="119"/>
      <c r="J479" s="119"/>
      <c r="K479" s="123"/>
      <c r="L479" s="123"/>
      <c r="M479" s="132"/>
      <c r="N479" s="132"/>
      <c r="O479" s="27"/>
      <c r="P479" s="27"/>
      <c r="Q479" s="132"/>
      <c r="R479" s="132"/>
      <c r="S479" s="124"/>
      <c r="T479" s="27"/>
      <c r="U479" s="27"/>
      <c r="V479" s="27"/>
      <c r="W479" s="27"/>
      <c r="X479" s="27"/>
      <c r="Y479" s="27"/>
      <c r="Z479" s="27"/>
      <c r="AA479" s="27"/>
      <c r="AB479" s="27"/>
      <c r="AC479" s="27"/>
      <c r="AD479" s="123"/>
    </row>
    <row r="480" spans="1:30" s="241" customFormat="1" ht="12.75" customHeight="1" x14ac:dyDescent="0.2">
      <c r="A480" s="132"/>
      <c r="B480" s="32"/>
      <c r="C480" s="27"/>
      <c r="D480" s="27"/>
      <c r="E480" s="119"/>
      <c r="F480" s="119"/>
      <c r="G480" s="119"/>
      <c r="H480" s="119"/>
      <c r="I480" s="119"/>
      <c r="J480" s="119"/>
      <c r="K480" s="123"/>
      <c r="L480" s="123"/>
      <c r="M480" s="132"/>
      <c r="N480" s="132"/>
      <c r="O480" s="27"/>
      <c r="P480" s="27"/>
      <c r="Q480" s="132"/>
      <c r="R480" s="132"/>
      <c r="S480" s="124"/>
      <c r="T480" s="27"/>
      <c r="U480" s="27"/>
      <c r="V480" s="27"/>
      <c r="W480" s="27"/>
      <c r="X480" s="27"/>
      <c r="Y480" s="27"/>
      <c r="Z480" s="27"/>
      <c r="AA480" s="27"/>
      <c r="AB480" s="27"/>
      <c r="AC480" s="27"/>
      <c r="AD480" s="123"/>
    </row>
    <row r="481" spans="1:30" s="241" customFormat="1" ht="12.75" customHeight="1" x14ac:dyDescent="0.2">
      <c r="A481" s="132"/>
      <c r="B481" s="32"/>
      <c r="C481" s="27"/>
      <c r="D481" s="27"/>
      <c r="E481" s="119"/>
      <c r="F481" s="119"/>
      <c r="G481" s="119"/>
      <c r="H481" s="119"/>
      <c r="I481" s="119"/>
      <c r="J481" s="119"/>
      <c r="K481" s="123"/>
      <c r="L481" s="123"/>
      <c r="M481" s="132"/>
      <c r="N481" s="132"/>
      <c r="O481" s="27"/>
      <c r="P481" s="27"/>
      <c r="Q481" s="132"/>
      <c r="R481" s="132"/>
      <c r="S481" s="124"/>
      <c r="T481" s="27"/>
      <c r="U481" s="27"/>
      <c r="V481" s="27"/>
      <c r="W481" s="27"/>
      <c r="X481" s="27"/>
      <c r="Y481" s="27"/>
      <c r="Z481" s="27"/>
      <c r="AA481" s="27"/>
      <c r="AB481" s="27"/>
      <c r="AC481" s="27"/>
      <c r="AD481" s="123"/>
    </row>
    <row r="482" spans="1:30" s="241" customFormat="1" ht="12.75" customHeight="1" x14ac:dyDescent="0.2">
      <c r="A482" s="132"/>
      <c r="B482" s="32"/>
      <c r="C482" s="27"/>
      <c r="D482" s="27"/>
      <c r="E482" s="119"/>
      <c r="F482" s="119"/>
      <c r="G482" s="119"/>
      <c r="H482" s="119"/>
      <c r="I482" s="119"/>
      <c r="J482" s="119"/>
      <c r="K482" s="123"/>
      <c r="L482" s="123"/>
      <c r="M482" s="132"/>
      <c r="N482" s="132"/>
      <c r="O482" s="27"/>
      <c r="P482" s="27"/>
      <c r="Q482" s="132"/>
      <c r="R482" s="132"/>
      <c r="S482" s="124"/>
      <c r="T482" s="27"/>
      <c r="U482" s="27"/>
      <c r="V482" s="27"/>
      <c r="W482" s="27"/>
      <c r="X482" s="27"/>
      <c r="Y482" s="27"/>
      <c r="Z482" s="27"/>
      <c r="AA482" s="27"/>
      <c r="AB482" s="27"/>
      <c r="AC482" s="27"/>
      <c r="AD482" s="123"/>
    </row>
    <row r="483" spans="1:30" s="241" customFormat="1" ht="12.75" customHeight="1" x14ac:dyDescent="0.2">
      <c r="A483" s="132"/>
      <c r="B483" s="32"/>
      <c r="C483" s="27"/>
      <c r="D483" s="27"/>
      <c r="E483" s="119"/>
      <c r="F483" s="119"/>
      <c r="G483" s="119"/>
      <c r="H483" s="119"/>
      <c r="I483" s="119"/>
      <c r="J483" s="119"/>
      <c r="K483" s="123"/>
      <c r="L483" s="123"/>
      <c r="M483" s="132"/>
      <c r="N483" s="132"/>
      <c r="O483" s="27"/>
      <c r="P483" s="27"/>
      <c r="Q483" s="132"/>
      <c r="R483" s="132"/>
      <c r="S483" s="124"/>
      <c r="T483" s="27"/>
      <c r="U483" s="27"/>
      <c r="V483" s="27"/>
      <c r="W483" s="27"/>
      <c r="X483" s="27"/>
      <c r="Y483" s="27"/>
      <c r="Z483" s="27"/>
      <c r="AA483" s="27"/>
      <c r="AB483" s="27"/>
      <c r="AC483" s="27"/>
      <c r="AD483" s="123"/>
    </row>
    <row r="484" spans="1:30" s="241" customFormat="1" ht="12.75" customHeight="1" x14ac:dyDescent="0.2">
      <c r="A484" s="132"/>
      <c r="B484" s="32"/>
      <c r="C484" s="27"/>
      <c r="D484" s="27"/>
      <c r="E484" s="119"/>
      <c r="F484" s="119"/>
      <c r="G484" s="119"/>
      <c r="H484" s="119"/>
      <c r="I484" s="119"/>
      <c r="J484" s="119"/>
      <c r="K484" s="123"/>
      <c r="L484" s="123"/>
      <c r="M484" s="132"/>
      <c r="N484" s="132"/>
      <c r="O484" s="27"/>
      <c r="P484" s="27"/>
      <c r="Q484" s="132"/>
      <c r="R484" s="132"/>
      <c r="S484" s="124"/>
      <c r="T484" s="27"/>
      <c r="U484" s="27"/>
      <c r="V484" s="27"/>
      <c r="W484" s="27"/>
      <c r="X484" s="27"/>
      <c r="Y484" s="27"/>
      <c r="Z484" s="27"/>
      <c r="AA484" s="27"/>
      <c r="AB484" s="27"/>
      <c r="AC484" s="27"/>
      <c r="AD484" s="123"/>
    </row>
    <row r="485" spans="1:30" s="241" customFormat="1" ht="12.75" customHeight="1" x14ac:dyDescent="0.2">
      <c r="A485" s="132"/>
      <c r="B485" s="32"/>
      <c r="C485" s="27"/>
      <c r="D485" s="27"/>
      <c r="E485" s="119"/>
      <c r="F485" s="119"/>
      <c r="G485" s="119"/>
      <c r="H485" s="119"/>
      <c r="I485" s="119"/>
      <c r="J485" s="119"/>
      <c r="K485" s="123"/>
      <c r="L485" s="123"/>
      <c r="M485" s="132"/>
      <c r="N485" s="132"/>
      <c r="O485" s="27"/>
      <c r="P485" s="27"/>
      <c r="Q485" s="132"/>
      <c r="R485" s="132"/>
      <c r="S485" s="124"/>
      <c r="T485" s="27"/>
      <c r="U485" s="27"/>
      <c r="V485" s="27"/>
      <c r="W485" s="27"/>
      <c r="X485" s="27"/>
      <c r="Y485" s="27"/>
      <c r="Z485" s="27"/>
      <c r="AA485" s="27"/>
      <c r="AB485" s="27"/>
      <c r="AC485" s="27"/>
      <c r="AD485" s="123"/>
    </row>
    <row r="486" spans="1:30" s="241" customFormat="1" ht="12.75" customHeight="1" x14ac:dyDescent="0.2">
      <c r="A486" s="132"/>
      <c r="B486" s="32"/>
      <c r="C486" s="27"/>
      <c r="D486" s="27"/>
      <c r="E486" s="119"/>
      <c r="F486" s="119"/>
      <c r="G486" s="119"/>
      <c r="H486" s="119"/>
      <c r="I486" s="119"/>
      <c r="J486" s="119"/>
      <c r="K486" s="123"/>
      <c r="L486" s="123"/>
      <c r="M486" s="132"/>
      <c r="N486" s="132"/>
      <c r="O486" s="27"/>
      <c r="P486" s="27"/>
      <c r="Q486" s="132"/>
      <c r="R486" s="132"/>
      <c r="S486" s="124"/>
      <c r="T486" s="27"/>
      <c r="U486" s="27"/>
      <c r="V486" s="27"/>
      <c r="W486" s="27"/>
      <c r="X486" s="27"/>
      <c r="Y486" s="27"/>
      <c r="Z486" s="27"/>
      <c r="AA486" s="27"/>
      <c r="AB486" s="27"/>
      <c r="AC486" s="27"/>
      <c r="AD486" s="123"/>
    </row>
    <row r="487" spans="1:30" s="241" customFormat="1" ht="12.75" customHeight="1" x14ac:dyDescent="0.2">
      <c r="A487" s="132"/>
      <c r="B487" s="32"/>
      <c r="C487" s="27"/>
      <c r="D487" s="27"/>
      <c r="E487" s="119"/>
      <c r="F487" s="119"/>
      <c r="G487" s="119"/>
      <c r="H487" s="119"/>
      <c r="I487" s="119"/>
      <c r="J487" s="119"/>
      <c r="K487" s="123"/>
      <c r="L487" s="123"/>
      <c r="M487" s="132"/>
      <c r="N487" s="132"/>
      <c r="O487" s="27"/>
      <c r="P487" s="27"/>
      <c r="Q487" s="132"/>
      <c r="R487" s="132"/>
      <c r="S487" s="124"/>
      <c r="T487" s="27"/>
      <c r="U487" s="27"/>
      <c r="V487" s="27"/>
      <c r="W487" s="27"/>
      <c r="X487" s="27"/>
      <c r="Y487" s="27"/>
      <c r="Z487" s="27"/>
      <c r="AA487" s="27"/>
      <c r="AB487" s="27"/>
      <c r="AC487" s="27"/>
      <c r="AD487" s="123"/>
    </row>
    <row r="488" spans="1:30" s="241" customFormat="1" ht="12.75" customHeight="1" x14ac:dyDescent="0.2">
      <c r="A488" s="132"/>
      <c r="B488" s="32"/>
      <c r="C488" s="27"/>
      <c r="D488" s="27"/>
      <c r="E488" s="119"/>
      <c r="F488" s="119"/>
      <c r="G488" s="119"/>
      <c r="H488" s="119"/>
      <c r="I488" s="119"/>
      <c r="J488" s="119"/>
      <c r="K488" s="123"/>
      <c r="L488" s="123"/>
      <c r="M488" s="132"/>
      <c r="N488" s="132"/>
      <c r="O488" s="27"/>
      <c r="P488" s="27"/>
      <c r="Q488" s="132"/>
      <c r="R488" s="132"/>
      <c r="S488" s="124"/>
      <c r="T488" s="27"/>
      <c r="U488" s="27"/>
      <c r="V488" s="27"/>
      <c r="W488" s="27"/>
      <c r="X488" s="27"/>
      <c r="Y488" s="27"/>
      <c r="Z488" s="27"/>
      <c r="AA488" s="27"/>
      <c r="AB488" s="27"/>
      <c r="AC488" s="27"/>
      <c r="AD488" s="123"/>
    </row>
    <row r="489" spans="1:30" s="241" customFormat="1" ht="12.75" customHeight="1" x14ac:dyDescent="0.2">
      <c r="A489" s="132"/>
      <c r="B489" s="32"/>
      <c r="C489" s="27"/>
      <c r="D489" s="27"/>
      <c r="E489" s="119"/>
      <c r="F489" s="119"/>
      <c r="G489" s="119"/>
      <c r="H489" s="119"/>
      <c r="I489" s="119"/>
      <c r="J489" s="119"/>
      <c r="K489" s="123"/>
      <c r="L489" s="123"/>
      <c r="M489" s="132"/>
      <c r="N489" s="132"/>
      <c r="O489" s="27"/>
      <c r="P489" s="27"/>
      <c r="Q489" s="132"/>
      <c r="R489" s="132"/>
      <c r="S489" s="124"/>
      <c r="T489" s="27"/>
      <c r="U489" s="27"/>
      <c r="V489" s="27"/>
      <c r="W489" s="27"/>
      <c r="X489" s="27"/>
      <c r="Y489" s="27"/>
      <c r="Z489" s="27"/>
      <c r="AA489" s="27"/>
      <c r="AB489" s="27"/>
      <c r="AC489" s="27"/>
      <c r="AD489" s="123"/>
    </row>
    <row r="490" spans="1:30" s="241" customFormat="1" ht="12.75" customHeight="1" x14ac:dyDescent="0.2">
      <c r="A490" s="132"/>
      <c r="B490" s="32"/>
      <c r="C490" s="27"/>
      <c r="D490" s="27"/>
      <c r="E490" s="119"/>
      <c r="F490" s="119"/>
      <c r="G490" s="119"/>
      <c r="H490" s="119"/>
      <c r="I490" s="119"/>
      <c r="J490" s="119"/>
      <c r="K490" s="123"/>
      <c r="L490" s="123"/>
      <c r="M490" s="132"/>
      <c r="N490" s="132"/>
      <c r="O490" s="27"/>
      <c r="P490" s="27"/>
      <c r="Q490" s="132"/>
      <c r="R490" s="132"/>
      <c r="S490" s="124"/>
      <c r="T490" s="27"/>
      <c r="U490" s="27"/>
      <c r="V490" s="27"/>
      <c r="W490" s="27"/>
      <c r="X490" s="27"/>
      <c r="Y490" s="27"/>
      <c r="Z490" s="27"/>
      <c r="AA490" s="27"/>
      <c r="AB490" s="27"/>
      <c r="AC490" s="27"/>
      <c r="AD490" s="123"/>
    </row>
    <row r="491" spans="1:30" s="241" customFormat="1" ht="12.75" customHeight="1" x14ac:dyDescent="0.2">
      <c r="A491" s="132"/>
      <c r="B491" s="32"/>
      <c r="C491" s="27"/>
      <c r="D491" s="27"/>
      <c r="E491" s="119"/>
      <c r="F491" s="119"/>
      <c r="G491" s="119"/>
      <c r="H491" s="119"/>
      <c r="I491" s="119"/>
      <c r="J491" s="119"/>
      <c r="K491" s="123"/>
      <c r="L491" s="123"/>
      <c r="M491" s="132"/>
      <c r="N491" s="132"/>
      <c r="O491" s="27"/>
      <c r="P491" s="27"/>
      <c r="Q491" s="132"/>
      <c r="R491" s="132"/>
      <c r="S491" s="124"/>
      <c r="T491" s="27"/>
      <c r="U491" s="27"/>
      <c r="V491" s="27"/>
      <c r="W491" s="27"/>
      <c r="X491" s="27"/>
      <c r="Y491" s="27"/>
      <c r="Z491" s="27"/>
      <c r="AA491" s="27"/>
      <c r="AB491" s="27"/>
      <c r="AC491" s="27"/>
      <c r="AD491" s="123"/>
    </row>
    <row r="492" spans="1:30" s="241" customFormat="1" ht="12.75" customHeight="1" x14ac:dyDescent="0.2">
      <c r="A492" s="132"/>
      <c r="B492" s="32"/>
      <c r="C492" s="27"/>
      <c r="D492" s="27"/>
      <c r="E492" s="119"/>
      <c r="F492" s="119"/>
      <c r="G492" s="119"/>
      <c r="H492" s="119"/>
      <c r="I492" s="119"/>
      <c r="J492" s="119"/>
      <c r="K492" s="123"/>
      <c r="L492" s="123"/>
      <c r="M492" s="132"/>
      <c r="N492" s="132"/>
      <c r="O492" s="27"/>
      <c r="P492" s="27"/>
      <c r="Q492" s="132"/>
      <c r="R492" s="132"/>
      <c r="S492" s="124"/>
      <c r="T492" s="27"/>
      <c r="U492" s="27"/>
      <c r="V492" s="27"/>
      <c r="W492" s="27"/>
      <c r="X492" s="27"/>
      <c r="Y492" s="27"/>
      <c r="Z492" s="27"/>
      <c r="AA492" s="27"/>
      <c r="AB492" s="27"/>
      <c r="AC492" s="27"/>
      <c r="AD492" s="123"/>
    </row>
    <row r="493" spans="1:30" s="241" customFormat="1" ht="12.75" customHeight="1" x14ac:dyDescent="0.2">
      <c r="A493" s="132"/>
      <c r="B493" s="32"/>
      <c r="C493" s="27"/>
      <c r="D493" s="27"/>
      <c r="E493" s="119"/>
      <c r="F493" s="119"/>
      <c r="G493" s="119"/>
      <c r="H493" s="119"/>
      <c r="I493" s="119"/>
      <c r="J493" s="119"/>
      <c r="K493" s="123"/>
      <c r="L493" s="123"/>
      <c r="M493" s="132"/>
      <c r="N493" s="132"/>
      <c r="O493" s="27"/>
      <c r="P493" s="27"/>
      <c r="Q493" s="132"/>
      <c r="R493" s="132"/>
      <c r="S493" s="124"/>
      <c r="T493" s="27"/>
      <c r="U493" s="27"/>
      <c r="V493" s="27"/>
      <c r="W493" s="27"/>
      <c r="X493" s="27"/>
      <c r="Y493" s="27"/>
      <c r="Z493" s="27"/>
      <c r="AA493" s="27"/>
      <c r="AB493" s="27"/>
      <c r="AC493" s="27"/>
      <c r="AD493" s="123"/>
    </row>
    <row r="494" spans="1:30" s="241" customFormat="1" ht="12.75" customHeight="1" x14ac:dyDescent="0.2">
      <c r="A494" s="132"/>
      <c r="B494" s="32"/>
      <c r="C494" s="27"/>
      <c r="D494" s="27"/>
      <c r="E494" s="119"/>
      <c r="F494" s="119"/>
      <c r="G494" s="119"/>
      <c r="H494" s="119"/>
      <c r="I494" s="119"/>
      <c r="J494" s="119"/>
      <c r="K494" s="123"/>
      <c r="L494" s="123"/>
      <c r="M494" s="132"/>
      <c r="N494" s="132"/>
      <c r="O494" s="27"/>
      <c r="P494" s="27"/>
      <c r="Q494" s="132"/>
      <c r="R494" s="132"/>
      <c r="S494" s="124"/>
      <c r="T494" s="27"/>
      <c r="U494" s="27"/>
      <c r="V494" s="27"/>
      <c r="W494" s="27"/>
      <c r="X494" s="27"/>
      <c r="Y494" s="27"/>
      <c r="Z494" s="27"/>
      <c r="AA494" s="27"/>
      <c r="AB494" s="27"/>
      <c r="AC494" s="27"/>
      <c r="AD494" s="123"/>
    </row>
    <row r="495" spans="1:30" s="241" customFormat="1" ht="12.75" customHeight="1" x14ac:dyDescent="0.2">
      <c r="A495" s="132"/>
      <c r="B495" s="32"/>
      <c r="C495" s="27"/>
      <c r="D495" s="27"/>
      <c r="E495" s="119"/>
      <c r="F495" s="119"/>
      <c r="G495" s="119"/>
      <c r="H495" s="119"/>
      <c r="I495" s="119"/>
      <c r="J495" s="119"/>
      <c r="K495" s="123"/>
      <c r="L495" s="123"/>
      <c r="M495" s="132"/>
      <c r="N495" s="132"/>
      <c r="O495" s="27"/>
      <c r="P495" s="27"/>
      <c r="Q495" s="132"/>
      <c r="R495" s="132"/>
      <c r="S495" s="124"/>
      <c r="T495" s="27"/>
      <c r="U495" s="27"/>
      <c r="V495" s="27"/>
      <c r="W495" s="27"/>
      <c r="X495" s="27"/>
      <c r="Y495" s="27"/>
      <c r="Z495" s="27"/>
      <c r="AA495" s="27"/>
      <c r="AB495" s="27"/>
      <c r="AC495" s="27"/>
      <c r="AD495" s="123"/>
    </row>
    <row r="496" spans="1:30" s="241" customFormat="1" ht="12.75" customHeight="1" x14ac:dyDescent="0.2">
      <c r="A496" s="132"/>
      <c r="B496" s="32"/>
      <c r="C496" s="27"/>
      <c r="D496" s="27"/>
      <c r="E496" s="119"/>
      <c r="F496" s="119"/>
      <c r="G496" s="119"/>
      <c r="H496" s="119"/>
      <c r="I496" s="119"/>
      <c r="J496" s="119"/>
      <c r="K496" s="123"/>
      <c r="L496" s="123"/>
      <c r="M496" s="132"/>
      <c r="N496" s="132"/>
      <c r="O496" s="27"/>
      <c r="P496" s="27"/>
      <c r="Q496" s="132"/>
      <c r="R496" s="132"/>
      <c r="S496" s="124"/>
      <c r="T496" s="27"/>
      <c r="U496" s="27"/>
      <c r="V496" s="27"/>
      <c r="W496" s="27"/>
      <c r="X496" s="27"/>
      <c r="Y496" s="27"/>
      <c r="Z496" s="27"/>
      <c r="AA496" s="27"/>
      <c r="AB496" s="27"/>
      <c r="AC496" s="27"/>
      <c r="AD496" s="123"/>
    </row>
    <row r="497" spans="1:34" s="241" customFormat="1" ht="12.75" customHeight="1" x14ac:dyDescent="0.2">
      <c r="A497" s="132"/>
      <c r="B497" s="32"/>
      <c r="C497" s="27"/>
      <c r="D497" s="27"/>
      <c r="E497" s="119"/>
      <c r="F497" s="119"/>
      <c r="G497" s="119"/>
      <c r="H497" s="119"/>
      <c r="I497" s="119"/>
      <c r="J497" s="119"/>
      <c r="K497" s="123"/>
      <c r="L497" s="123"/>
      <c r="M497" s="132"/>
      <c r="N497" s="132"/>
      <c r="O497" s="27"/>
      <c r="P497" s="27"/>
      <c r="Q497" s="132"/>
      <c r="R497" s="132"/>
      <c r="S497" s="124"/>
      <c r="T497" s="27"/>
      <c r="U497" s="27"/>
      <c r="V497" s="27"/>
      <c r="W497" s="27"/>
      <c r="X497" s="27"/>
      <c r="Y497" s="27"/>
      <c r="Z497" s="27"/>
      <c r="AA497" s="27"/>
      <c r="AB497" s="27"/>
      <c r="AC497" s="27"/>
      <c r="AD497" s="123"/>
    </row>
    <row r="498" spans="1:34" s="241" customFormat="1" ht="12.75" customHeight="1" x14ac:dyDescent="0.2">
      <c r="A498" s="132"/>
      <c r="B498" s="32"/>
      <c r="C498" s="27"/>
      <c r="D498" s="27"/>
      <c r="E498" s="119"/>
      <c r="F498" s="119"/>
      <c r="G498" s="119"/>
      <c r="H498" s="119"/>
      <c r="I498" s="119"/>
      <c r="J498" s="119"/>
      <c r="K498" s="123"/>
      <c r="L498" s="123"/>
      <c r="M498" s="132"/>
      <c r="N498" s="132"/>
      <c r="O498" s="27"/>
      <c r="P498" s="27"/>
      <c r="Q498" s="132"/>
      <c r="R498" s="132"/>
      <c r="S498" s="124"/>
      <c r="T498" s="27"/>
      <c r="U498" s="27"/>
      <c r="V498" s="27"/>
      <c r="W498" s="27"/>
      <c r="X498" s="27"/>
      <c r="Y498" s="27"/>
      <c r="Z498" s="27"/>
      <c r="AA498" s="27"/>
      <c r="AB498" s="27"/>
      <c r="AC498" s="27"/>
      <c r="AD498" s="123"/>
    </row>
    <row r="499" spans="1:34" s="241" customFormat="1" ht="12.75" customHeight="1" x14ac:dyDescent="0.2">
      <c r="A499" s="132"/>
      <c r="B499" s="32"/>
      <c r="C499" s="27"/>
      <c r="D499" s="27"/>
      <c r="E499" s="119"/>
      <c r="F499" s="119"/>
      <c r="G499" s="119"/>
      <c r="H499" s="119"/>
      <c r="I499" s="119"/>
      <c r="J499" s="119"/>
      <c r="K499" s="123"/>
      <c r="L499" s="123"/>
      <c r="M499" s="132"/>
      <c r="N499" s="132"/>
      <c r="O499" s="27"/>
      <c r="P499" s="27"/>
      <c r="Q499" s="132"/>
      <c r="R499" s="132"/>
      <c r="S499" s="124"/>
      <c r="T499" s="27"/>
      <c r="U499" s="27"/>
      <c r="V499" s="27"/>
      <c r="W499" s="27"/>
      <c r="X499" s="27"/>
      <c r="Y499" s="27"/>
      <c r="Z499" s="27"/>
      <c r="AA499" s="27"/>
      <c r="AB499" s="27"/>
      <c r="AC499" s="27"/>
      <c r="AD499" s="123"/>
    </row>
    <row r="500" spans="1:34" s="241" customFormat="1" ht="12.75" customHeight="1" x14ac:dyDescent="0.2">
      <c r="A500" s="132"/>
      <c r="B500" s="32"/>
      <c r="C500" s="27"/>
      <c r="D500" s="27"/>
      <c r="E500" s="119"/>
      <c r="F500" s="119"/>
      <c r="G500" s="119"/>
      <c r="H500" s="119"/>
      <c r="I500" s="119"/>
      <c r="J500" s="119"/>
      <c r="K500" s="123"/>
      <c r="L500" s="123"/>
      <c r="M500" s="132"/>
      <c r="N500" s="132"/>
      <c r="O500" s="27"/>
      <c r="P500" s="27"/>
      <c r="Q500" s="132"/>
      <c r="R500" s="132"/>
      <c r="S500" s="124"/>
      <c r="T500" s="27"/>
      <c r="U500" s="27"/>
      <c r="V500" s="27"/>
      <c r="W500" s="27"/>
      <c r="X500" s="27"/>
      <c r="Y500" s="27"/>
      <c r="Z500" s="27"/>
      <c r="AA500" s="27"/>
      <c r="AB500" s="27"/>
      <c r="AC500" s="27"/>
      <c r="AD500" s="123"/>
    </row>
    <row r="501" spans="1:34" s="241" customFormat="1" ht="13" customHeight="1" x14ac:dyDescent="0.2">
      <c r="A501" s="132"/>
      <c r="B501" s="32"/>
      <c r="C501" s="27"/>
      <c r="D501" s="27"/>
      <c r="E501" s="119"/>
      <c r="F501" s="119"/>
      <c r="G501" s="119"/>
      <c r="H501" s="119"/>
      <c r="I501" s="119"/>
      <c r="J501" s="119"/>
      <c r="K501" s="123"/>
      <c r="L501" s="123"/>
      <c r="M501" s="132"/>
      <c r="N501" s="132"/>
      <c r="O501" s="27"/>
      <c r="P501" s="27"/>
      <c r="Q501" s="132"/>
      <c r="R501" s="132"/>
      <c r="S501" s="124"/>
      <c r="T501" s="27"/>
      <c r="U501" s="27"/>
      <c r="V501" s="27"/>
      <c r="W501" s="27"/>
      <c r="X501" s="27"/>
      <c r="Y501" s="27"/>
      <c r="Z501" s="27"/>
      <c r="AA501" s="27"/>
      <c r="AB501" s="27"/>
      <c r="AC501" s="27"/>
      <c r="AD501" s="123"/>
    </row>
    <row r="502" spans="1:34" s="241" customFormat="1" ht="13" customHeight="1" x14ac:dyDescent="0.2">
      <c r="A502" s="132"/>
      <c r="B502" s="32"/>
      <c r="C502" s="27"/>
      <c r="D502" s="27"/>
      <c r="E502" s="119"/>
      <c r="F502" s="119"/>
      <c r="G502" s="119"/>
      <c r="H502" s="119"/>
      <c r="I502" s="119"/>
      <c r="J502" s="119"/>
      <c r="K502" s="123"/>
      <c r="L502" s="123"/>
      <c r="M502" s="132"/>
      <c r="N502" s="132"/>
      <c r="O502" s="27"/>
      <c r="P502" s="27"/>
      <c r="Q502" s="132"/>
      <c r="R502" s="132"/>
      <c r="S502" s="124"/>
      <c r="T502" s="27"/>
      <c r="U502" s="27"/>
      <c r="V502" s="27"/>
      <c r="W502" s="27"/>
      <c r="X502" s="27"/>
      <c r="Y502" s="27"/>
      <c r="Z502" s="27"/>
      <c r="AA502" s="27"/>
      <c r="AB502" s="27"/>
      <c r="AC502" s="27"/>
      <c r="AD502" s="123"/>
    </row>
    <row r="503" spans="1:34" s="241" customFormat="1" ht="13" customHeight="1" x14ac:dyDescent="0.2">
      <c r="A503" s="132"/>
      <c r="B503" s="32"/>
      <c r="C503" s="27"/>
      <c r="D503" s="27"/>
      <c r="E503" s="119"/>
      <c r="F503" s="119"/>
      <c r="G503" s="119"/>
      <c r="H503" s="119"/>
      <c r="I503" s="119"/>
      <c r="J503" s="119"/>
      <c r="K503" s="123"/>
      <c r="L503" s="123"/>
      <c r="M503" s="132"/>
      <c r="N503" s="132"/>
      <c r="O503" s="27"/>
      <c r="P503" s="27"/>
      <c r="Q503" s="132"/>
      <c r="R503" s="132"/>
      <c r="S503" s="124"/>
      <c r="T503" s="27"/>
      <c r="U503" s="27"/>
      <c r="V503" s="27"/>
      <c r="W503" s="27"/>
      <c r="X503" s="27"/>
      <c r="Y503" s="27"/>
      <c r="Z503" s="27"/>
      <c r="AA503" s="27"/>
      <c r="AB503" s="27"/>
      <c r="AC503" s="27"/>
      <c r="AD503" s="123"/>
    </row>
    <row r="504" spans="1:34" s="241" customFormat="1" ht="13" customHeight="1" x14ac:dyDescent="0.2">
      <c r="A504" s="132"/>
      <c r="B504" s="32"/>
      <c r="C504" s="27"/>
      <c r="D504" s="27"/>
      <c r="E504" s="119"/>
      <c r="F504" s="119"/>
      <c r="G504" s="119"/>
      <c r="H504" s="334"/>
      <c r="I504" s="119"/>
      <c r="J504" s="119"/>
      <c r="K504" s="123"/>
      <c r="L504" s="123"/>
      <c r="M504" s="132"/>
      <c r="N504" s="132"/>
      <c r="O504" s="27"/>
      <c r="P504" s="27"/>
      <c r="Q504" s="132"/>
      <c r="R504" s="132"/>
      <c r="S504" s="124"/>
      <c r="T504" s="27"/>
      <c r="U504" s="27"/>
      <c r="V504" s="27"/>
      <c r="W504" s="27"/>
      <c r="X504" s="27"/>
      <c r="Y504" s="27"/>
      <c r="Z504" s="27"/>
      <c r="AA504" s="27"/>
      <c r="AB504" s="27"/>
      <c r="AC504" s="27"/>
      <c r="AD504" s="123"/>
    </row>
    <row r="505" spans="1:34" s="119" customFormat="1" ht="13" customHeight="1" x14ac:dyDescent="0.2">
      <c r="A505" s="132"/>
      <c r="B505" s="32"/>
      <c r="C505" s="27"/>
      <c r="D505" s="27"/>
      <c r="I505" s="334"/>
      <c r="K505" s="123"/>
      <c r="L505" s="123"/>
      <c r="M505" s="132"/>
      <c r="N505" s="132"/>
      <c r="O505" s="27"/>
      <c r="P505" s="27"/>
      <c r="Q505" s="132"/>
      <c r="R505" s="132"/>
      <c r="S505" s="124"/>
      <c r="T505" s="27"/>
      <c r="U505" s="27"/>
      <c r="V505" s="27"/>
      <c r="W505" s="27"/>
      <c r="X505" s="27"/>
      <c r="Y505" s="27"/>
      <c r="Z505" s="27"/>
      <c r="AA505" s="27"/>
      <c r="AB505" s="27"/>
      <c r="AC505" s="27"/>
      <c r="AD505" s="123"/>
      <c r="AE505" s="241"/>
      <c r="AF505" s="241"/>
      <c r="AG505" s="241"/>
      <c r="AH505" s="241"/>
    </row>
    <row r="506" spans="1:34" s="119" customFormat="1" ht="13" customHeight="1" x14ac:dyDescent="0.2">
      <c r="A506" s="132"/>
      <c r="B506" s="32"/>
      <c r="C506" s="27"/>
      <c r="D506" s="443"/>
      <c r="E506" s="443"/>
      <c r="K506" s="123"/>
      <c r="L506" s="123"/>
      <c r="M506" s="444">
        <f ca="1">TODAY()</f>
        <v>46100</v>
      </c>
      <c r="N506" s="444"/>
      <c r="O506" s="444"/>
      <c r="P506" s="444"/>
      <c r="Q506" s="444"/>
      <c r="R506" s="444"/>
      <c r="S506" s="124"/>
      <c r="T506" s="27"/>
      <c r="U506" s="27"/>
      <c r="V506" s="27"/>
      <c r="W506" s="27"/>
      <c r="X506" s="27"/>
      <c r="Y506" s="27"/>
      <c r="Z506" s="27"/>
      <c r="AA506" s="27"/>
      <c r="AB506" s="27"/>
      <c r="AC506" s="27"/>
      <c r="AD506" s="123"/>
      <c r="AE506" s="241"/>
    </row>
    <row r="507" spans="1:34" s="119" customFormat="1" ht="13" customHeight="1" x14ac:dyDescent="0.2">
      <c r="A507" s="132"/>
      <c r="B507" s="32"/>
      <c r="C507" s="335"/>
      <c r="D507" s="27"/>
      <c r="K507" s="123"/>
      <c r="L507" s="123"/>
      <c r="M507" s="132"/>
      <c r="N507" s="132"/>
      <c r="O507" s="27"/>
      <c r="P507" s="27"/>
      <c r="Q507" s="132"/>
      <c r="R507" s="336"/>
      <c r="S507" s="124"/>
      <c r="T507" s="27"/>
      <c r="U507" s="27"/>
      <c r="V507" s="27"/>
      <c r="W507" s="27"/>
      <c r="X507" s="27"/>
      <c r="Y507" s="27"/>
      <c r="Z507" s="27"/>
      <c r="AA507" s="27"/>
      <c r="AB507" s="27"/>
      <c r="AC507" s="27"/>
      <c r="AD507" s="123"/>
      <c r="AE507" s="241"/>
    </row>
    <row r="508" spans="1:34" s="119" customFormat="1" ht="13" customHeight="1" x14ac:dyDescent="0.2">
      <c r="A508" s="132"/>
      <c r="B508" s="32"/>
      <c r="C508" s="27"/>
      <c r="D508" s="27"/>
      <c r="K508" s="123"/>
      <c r="L508" s="123"/>
      <c r="M508" s="132"/>
      <c r="N508" s="132"/>
      <c r="O508" s="27"/>
      <c r="P508" s="27"/>
      <c r="Q508" s="132"/>
      <c r="R508" s="132"/>
      <c r="S508" s="124"/>
      <c r="T508" s="27"/>
      <c r="U508" s="27"/>
      <c r="V508" s="27"/>
      <c r="W508" s="27"/>
      <c r="X508" s="27"/>
      <c r="Y508" s="27"/>
      <c r="Z508" s="27"/>
      <c r="AA508" s="27"/>
      <c r="AB508" s="27"/>
      <c r="AC508" s="27"/>
      <c r="AD508" s="123"/>
    </row>
    <row r="509" spans="1:34" s="119" customFormat="1" ht="13" customHeight="1" x14ac:dyDescent="0.2">
      <c r="A509" s="132"/>
      <c r="B509" s="32"/>
      <c r="C509" s="27"/>
      <c r="D509" s="27"/>
      <c r="K509" s="331"/>
      <c r="L509" s="445" t="s">
        <v>255</v>
      </c>
      <c r="M509" s="445"/>
      <c r="N509" s="446" t="str">
        <f>IF(E9="","",E9)</f>
        <v/>
      </c>
      <c r="O509" s="446"/>
      <c r="P509" s="446"/>
      <c r="Q509" s="446"/>
      <c r="R509" s="446"/>
      <c r="S509" s="124"/>
      <c r="T509" s="27"/>
      <c r="U509" s="27"/>
      <c r="V509" s="27"/>
      <c r="W509" s="27"/>
      <c r="X509" s="27"/>
      <c r="Y509" s="27"/>
      <c r="Z509" s="27"/>
      <c r="AA509" s="27"/>
      <c r="AB509" s="27"/>
      <c r="AC509" s="27"/>
      <c r="AD509" s="123"/>
    </row>
    <row r="510" spans="1:34" s="210" customFormat="1" ht="13" customHeight="1" thickBot="1" x14ac:dyDescent="0.25">
      <c r="A510" s="132"/>
      <c r="B510" s="32"/>
      <c r="C510" s="335"/>
      <c r="D510" s="27"/>
      <c r="E510" s="119"/>
      <c r="F510" s="119"/>
      <c r="G510" s="119"/>
      <c r="H510" s="119"/>
      <c r="I510" s="123"/>
      <c r="J510" s="123"/>
      <c r="K510" s="331"/>
      <c r="L510" s="445"/>
      <c r="M510" s="445"/>
      <c r="N510" s="446"/>
      <c r="O510" s="446"/>
      <c r="P510" s="446"/>
      <c r="Q510" s="446"/>
      <c r="R510" s="446"/>
      <c r="S510" s="124"/>
      <c r="T510" s="27"/>
      <c r="U510" s="27"/>
      <c r="V510" s="27"/>
      <c r="W510" s="27"/>
      <c r="X510" s="27"/>
      <c r="Y510" s="27"/>
      <c r="Z510" s="27"/>
      <c r="AA510" s="27"/>
      <c r="AB510" s="27"/>
      <c r="AC510" s="27"/>
      <c r="AD510" s="123"/>
      <c r="AE510" s="119"/>
      <c r="AF510" s="119"/>
      <c r="AG510" s="119"/>
      <c r="AH510" s="119"/>
    </row>
    <row r="511" spans="1:34" s="210" customFormat="1" ht="13" customHeight="1" thickTop="1" x14ac:dyDescent="0.2">
      <c r="A511" s="132"/>
      <c r="B511" s="32"/>
      <c r="C511" s="27"/>
      <c r="D511" s="27"/>
      <c r="E511" s="119"/>
      <c r="F511" s="119"/>
      <c r="G511" s="119"/>
      <c r="H511" s="119"/>
      <c r="I511" s="123"/>
      <c r="J511" s="123"/>
      <c r="K511" s="337"/>
      <c r="L511" s="447" t="s">
        <v>254</v>
      </c>
      <c r="M511" s="448"/>
      <c r="N511" s="453" t="str">
        <f>IFERROR(INDEX(E11:J11, MATCH("依頼者", E10:J10, 0)), "")</f>
        <v/>
      </c>
      <c r="O511" s="453"/>
      <c r="P511" s="453"/>
      <c r="Q511" s="453"/>
      <c r="R511" s="454"/>
      <c r="S511" s="124"/>
      <c r="T511" s="27"/>
      <c r="U511" s="27"/>
      <c r="V511" s="27"/>
      <c r="W511" s="27"/>
      <c r="X511" s="27"/>
      <c r="Y511" s="27"/>
      <c r="Z511" s="27"/>
      <c r="AA511" s="27"/>
      <c r="AB511" s="27"/>
      <c r="AC511" s="27"/>
      <c r="AD511" s="123"/>
      <c r="AE511" s="119"/>
    </row>
    <row r="512" spans="1:34" s="210" customFormat="1" ht="17" customHeight="1" x14ac:dyDescent="0.2">
      <c r="A512" s="132"/>
      <c r="B512" s="32"/>
      <c r="C512" s="27"/>
      <c r="D512" s="455">
        <f>C3</f>
        <v>7</v>
      </c>
      <c r="E512" s="455"/>
      <c r="F512" s="455"/>
      <c r="G512" s="455"/>
      <c r="H512" s="338"/>
      <c r="I512" s="123"/>
      <c r="J512" s="123"/>
      <c r="K512" s="337"/>
      <c r="L512" s="449"/>
      <c r="M512" s="450"/>
      <c r="N512" s="434"/>
      <c r="O512" s="434"/>
      <c r="P512" s="434"/>
      <c r="Q512" s="434"/>
      <c r="R512" s="438"/>
      <c r="S512" s="124"/>
      <c r="T512" s="32"/>
      <c r="U512" s="32"/>
      <c r="V512" s="32"/>
      <c r="W512" s="32"/>
      <c r="X512" s="32"/>
      <c r="Y512" s="32"/>
      <c r="Z512" s="27"/>
      <c r="AA512" s="27"/>
      <c r="AB512" s="32"/>
      <c r="AC512" s="32"/>
      <c r="AE512" s="119"/>
    </row>
    <row r="513" spans="1:34" s="210" customFormat="1" ht="15" customHeight="1" x14ac:dyDescent="0.2">
      <c r="A513" s="119"/>
      <c r="B513" s="32"/>
      <c r="C513" s="27"/>
      <c r="D513" s="149"/>
      <c r="E513" s="339"/>
      <c r="F513" s="339"/>
      <c r="G513" s="339"/>
      <c r="H513" s="338"/>
      <c r="I513" s="123"/>
      <c r="J513" s="123"/>
      <c r="K513" s="337"/>
      <c r="L513" s="451"/>
      <c r="M513" s="452"/>
      <c r="N513" s="436"/>
      <c r="O513" s="436"/>
      <c r="P513" s="436"/>
      <c r="Q513" s="436"/>
      <c r="R513" s="439"/>
      <c r="S513" s="124"/>
      <c r="T513" s="32"/>
      <c r="U513" s="32"/>
      <c r="V513" s="32"/>
      <c r="W513" s="32"/>
      <c r="X513" s="32"/>
      <c r="Y513" s="32"/>
      <c r="Z513" s="32"/>
      <c r="AA513" s="32"/>
      <c r="AB513" s="32"/>
      <c r="AC513" s="32"/>
    </row>
    <row r="514" spans="1:34" s="210" customFormat="1" ht="15" customHeight="1" x14ac:dyDescent="0.2">
      <c r="A514" s="119"/>
      <c r="B514" s="32"/>
      <c r="C514" s="27"/>
      <c r="D514" s="430" t="s">
        <v>438</v>
      </c>
      <c r="E514" s="430"/>
      <c r="F514" s="430"/>
      <c r="G514" s="430"/>
      <c r="H514" s="338"/>
      <c r="I514" s="123"/>
      <c r="J514" s="123"/>
      <c r="K514" s="337"/>
      <c r="L514" s="431" t="s">
        <v>427</v>
      </c>
      <c r="M514" s="432"/>
      <c r="N514" s="432" t="str">
        <f>IFERROR(INDEX(E12:J12, MATCH("依頼者", E10:J10, 0)), "")</f>
        <v/>
      </c>
      <c r="O514" s="432"/>
      <c r="P514" s="432"/>
      <c r="Q514" s="432"/>
      <c r="R514" s="437"/>
      <c r="S514" s="124"/>
      <c r="T514" s="32"/>
      <c r="U514" s="32"/>
      <c r="V514" s="32"/>
      <c r="W514" s="32"/>
      <c r="X514" s="32"/>
      <c r="Y514" s="32"/>
      <c r="Z514" s="32"/>
      <c r="AA514" s="32"/>
      <c r="AB514" s="32"/>
      <c r="AC514" s="32"/>
    </row>
    <row r="515" spans="1:34" s="210" customFormat="1" ht="15" customHeight="1" x14ac:dyDescent="0.2">
      <c r="A515" s="119"/>
      <c r="B515" s="32"/>
      <c r="C515" s="27"/>
      <c r="H515" s="338"/>
      <c r="I515" s="123"/>
      <c r="J515" s="123"/>
      <c r="K515" s="337"/>
      <c r="L515" s="433"/>
      <c r="M515" s="434"/>
      <c r="N515" s="434"/>
      <c r="O515" s="434"/>
      <c r="P515" s="434"/>
      <c r="Q515" s="434"/>
      <c r="R515" s="438"/>
      <c r="S515" s="124"/>
      <c r="T515" s="32"/>
      <c r="U515" s="32"/>
      <c r="V515" s="32"/>
      <c r="W515" s="32"/>
      <c r="X515" s="32"/>
      <c r="Y515" s="32"/>
      <c r="Z515" s="32"/>
      <c r="AA515" s="32"/>
      <c r="AB515" s="32"/>
      <c r="AC515" s="32"/>
    </row>
    <row r="516" spans="1:34" s="210" customFormat="1" ht="15" customHeight="1" x14ac:dyDescent="0.2">
      <c r="A516" s="119"/>
      <c r="B516" s="32"/>
      <c r="C516" s="27"/>
      <c r="D516" s="27"/>
      <c r="E516" s="119"/>
      <c r="F516" s="119"/>
      <c r="G516" s="119"/>
      <c r="H516" s="338"/>
      <c r="I516" s="119"/>
      <c r="J516" s="123"/>
      <c r="L516" s="435"/>
      <c r="M516" s="436"/>
      <c r="N516" s="436"/>
      <c r="O516" s="436"/>
      <c r="P516" s="436"/>
      <c r="Q516" s="436"/>
      <c r="R516" s="439"/>
      <c r="S516" s="124"/>
      <c r="T516" s="32"/>
      <c r="U516" s="32"/>
      <c r="V516" s="32"/>
      <c r="W516" s="32"/>
      <c r="X516" s="32"/>
      <c r="Y516" s="32"/>
      <c r="Z516" s="32"/>
      <c r="AA516" s="32"/>
      <c r="AB516" s="32"/>
      <c r="AC516" s="32"/>
    </row>
    <row r="517" spans="1:34" s="210" customFormat="1" ht="20" customHeight="1" thickBot="1" x14ac:dyDescent="0.25">
      <c r="A517" s="119"/>
      <c r="B517" s="32"/>
      <c r="C517" s="27"/>
      <c r="D517" s="340" t="s">
        <v>248</v>
      </c>
      <c r="E517" s="409">
        <f>C3</f>
        <v>7</v>
      </c>
      <c r="F517" s="409"/>
      <c r="G517" s="119"/>
      <c r="H517" s="119"/>
      <c r="I517" s="119"/>
      <c r="J517" s="119"/>
      <c r="K517" s="337"/>
      <c r="L517" s="410" t="s">
        <v>428</v>
      </c>
      <c r="M517" s="411"/>
      <c r="N517" s="411" t="str" cm="1">
        <f t="array" ref="N517">IF(COUNTIF($E$32:$J$32,"〇")=0,"",MAX(IF($E$32:$J$32="〇",$E$15:$J$15)))</f>
        <v/>
      </c>
      <c r="O517" s="411"/>
      <c r="P517" s="411"/>
      <c r="Q517" s="411"/>
      <c r="R517" s="416"/>
      <c r="S517" s="124"/>
      <c r="T517" s="32"/>
      <c r="U517" s="32"/>
      <c r="V517" s="32"/>
      <c r="W517" s="32"/>
      <c r="X517" s="32"/>
      <c r="Y517" s="32"/>
      <c r="Z517" s="32"/>
      <c r="AA517" s="32"/>
      <c r="AB517" s="32"/>
      <c r="AC517" s="32"/>
    </row>
    <row r="518" spans="1:34" s="210" customFormat="1" ht="12.75" customHeight="1" thickTop="1" x14ac:dyDescent="0.2">
      <c r="B518" s="32"/>
      <c r="C518" s="27"/>
      <c r="D518" s="419" t="s">
        <v>250</v>
      </c>
      <c r="E518" s="341"/>
      <c r="F518" s="342"/>
      <c r="G518" s="342"/>
      <c r="H518" s="343"/>
      <c r="I518" s="342"/>
      <c r="J518" s="344"/>
      <c r="K518" s="337"/>
      <c r="L518" s="412"/>
      <c r="M518" s="413"/>
      <c r="N518" s="413"/>
      <c r="O518" s="413"/>
      <c r="P518" s="413"/>
      <c r="Q518" s="413"/>
      <c r="R518" s="417"/>
      <c r="S518" s="124"/>
      <c r="T518" s="32"/>
      <c r="U518" s="32"/>
      <c r="V518" s="32"/>
      <c r="W518" s="32"/>
      <c r="X518" s="32"/>
      <c r="Y518" s="32"/>
      <c r="Z518" s="32"/>
      <c r="AA518" s="32"/>
      <c r="AB518" s="32"/>
      <c r="AC518" s="32"/>
    </row>
    <row r="519" spans="1:34" s="210" customFormat="1" ht="12.75" customHeight="1" thickBot="1" x14ac:dyDescent="0.25">
      <c r="B519" s="32"/>
      <c r="C519" s="27"/>
      <c r="D519" s="420"/>
      <c r="E519" s="345" t="str">
        <f t="shared" ref="E519:J519" si="197">IF(E11="","",E11)</f>
        <v/>
      </c>
      <c r="F519" s="260" t="str">
        <f t="shared" si="197"/>
        <v/>
      </c>
      <c r="G519" s="260" t="str">
        <f t="shared" si="197"/>
        <v/>
      </c>
      <c r="H519" s="346" t="str">
        <f t="shared" si="197"/>
        <v/>
      </c>
      <c r="I519" s="260" t="str">
        <f t="shared" si="197"/>
        <v/>
      </c>
      <c r="J519" s="347" t="str">
        <f t="shared" si="197"/>
        <v/>
      </c>
      <c r="K519" s="337"/>
      <c r="L519" s="414"/>
      <c r="M519" s="415"/>
      <c r="N519" s="415"/>
      <c r="O519" s="415"/>
      <c r="P519" s="415"/>
      <c r="Q519" s="415"/>
      <c r="R519" s="418"/>
      <c r="S519" s="124"/>
      <c r="T519" s="32"/>
      <c r="U519" s="32"/>
      <c r="V519" s="32"/>
      <c r="W519" s="32"/>
      <c r="X519" s="32"/>
      <c r="Y519" s="32"/>
      <c r="Z519" s="32"/>
      <c r="AA519" s="32"/>
      <c r="AB519" s="32"/>
      <c r="AC519" s="32"/>
    </row>
    <row r="520" spans="1:34" s="210" customFormat="1" ht="12.75" customHeight="1" thickTop="1" thickBot="1" x14ac:dyDescent="0.25">
      <c r="B520" s="32"/>
      <c r="C520" s="27"/>
      <c r="D520" s="420"/>
      <c r="E520" s="348" t="str">
        <f t="shared" ref="E520:J520" si="198">IF(E20="","(    歳）",DATEDIF(E33,$M$506,"y"))</f>
        <v>(    歳）</v>
      </c>
      <c r="F520" s="349" t="str">
        <f t="shared" si="198"/>
        <v>(    歳）</v>
      </c>
      <c r="G520" s="349" t="str">
        <f t="shared" si="198"/>
        <v>(    歳）</v>
      </c>
      <c r="H520" s="350" t="str">
        <f t="shared" si="198"/>
        <v>(    歳）</v>
      </c>
      <c r="I520" s="349" t="str">
        <f t="shared" si="198"/>
        <v>(    歳）</v>
      </c>
      <c r="J520" s="351" t="str">
        <f t="shared" si="198"/>
        <v>(    歳）</v>
      </c>
      <c r="K520" s="337"/>
      <c r="L520" s="123"/>
      <c r="M520" s="132"/>
      <c r="N520" s="132"/>
      <c r="O520" s="27"/>
      <c r="P520" s="27"/>
      <c r="Q520" s="132"/>
      <c r="R520" s="132"/>
      <c r="S520" s="124"/>
      <c r="T520" s="32"/>
      <c r="U520" s="32"/>
      <c r="V520" s="32"/>
      <c r="W520" s="32"/>
      <c r="X520" s="32"/>
      <c r="Y520" s="32"/>
      <c r="Z520" s="32"/>
      <c r="AA520" s="32"/>
      <c r="AB520" s="32"/>
      <c r="AC520" s="32"/>
    </row>
    <row r="521" spans="1:34" s="119" customFormat="1" ht="23.5" customHeight="1" thickTop="1" x14ac:dyDescent="0.2">
      <c r="A521" s="210"/>
      <c r="B521" s="32"/>
      <c r="C521" s="352"/>
      <c r="D521" s="420"/>
      <c r="E521" s="353" t="str">
        <f>IF(E18="","普主 ・ 擬主 ・ 被保",E18)</f>
        <v>普主 ・ 擬主 ・ 被保</v>
      </c>
      <c r="F521" s="353" t="str">
        <f t="shared" ref="F521:J521" si="199">IF(F18="","普主 ・ 擬主 ・ 被保",F18)</f>
        <v>普主 ・ 擬主 ・ 被保</v>
      </c>
      <c r="G521" s="353" t="str">
        <f t="shared" si="199"/>
        <v>普主 ・ 擬主 ・ 被保</v>
      </c>
      <c r="H521" s="353" t="str">
        <f t="shared" si="199"/>
        <v>普主 ・ 擬主 ・ 被保</v>
      </c>
      <c r="I521" s="353" t="str">
        <f t="shared" si="199"/>
        <v>普主 ・ 擬主 ・ 被保</v>
      </c>
      <c r="J521" s="353" t="str">
        <f t="shared" si="199"/>
        <v>普主 ・ 擬主 ・ 被保</v>
      </c>
      <c r="K521" s="123"/>
      <c r="L521" s="123"/>
      <c r="M521" s="132"/>
      <c r="N521" s="132"/>
      <c r="O521" s="27"/>
      <c r="P521" s="27"/>
      <c r="Q521" s="132"/>
      <c r="R521" s="132"/>
      <c r="S521" s="124"/>
      <c r="T521" s="32"/>
      <c r="U521" s="32"/>
      <c r="V521" s="32"/>
      <c r="W521" s="32"/>
      <c r="X521" s="32"/>
      <c r="Y521" s="32"/>
      <c r="Z521" s="32"/>
      <c r="AA521" s="32"/>
      <c r="AB521" s="32"/>
      <c r="AC521" s="32"/>
      <c r="AD521" s="210"/>
      <c r="AE521" s="210"/>
      <c r="AF521" s="210"/>
      <c r="AG521" s="210"/>
      <c r="AH521" s="210"/>
    </row>
    <row r="522" spans="1:34" s="119" customFormat="1" ht="23.5" customHeight="1" x14ac:dyDescent="0.2">
      <c r="A522" s="210"/>
      <c r="B522" s="32"/>
      <c r="C522" s="32"/>
      <c r="D522" s="421"/>
      <c r="E522" s="354" t="str">
        <f>IF(AND(E28="★該当",E29="★該当"),"非自発・旧被扶養",IF(E28="★該当","非自発",IF(E29="★該当","旧被扶養",IF(MIN($E$120:$J$122)&lt;0,"旧保","非自発・旧保・旧被扶養"))))</f>
        <v>非自発・旧保・旧被扶養</v>
      </c>
      <c r="F522" s="354" t="str">
        <f t="shared" ref="F522:J522" si="200">IF(AND(F28="★該当",F29="★該当"),"非自発・旧被扶養",IF(F28="★該当","非自発",IF(F29="★該当","旧被扶養",IF(MIN($E$120:$J$122)&lt;0,"旧保","非自発・旧保・旧被扶養"))))</f>
        <v>非自発・旧保・旧被扶養</v>
      </c>
      <c r="G522" s="354" t="str">
        <f t="shared" si="200"/>
        <v>非自発・旧保・旧被扶養</v>
      </c>
      <c r="H522" s="354" t="str">
        <f t="shared" si="200"/>
        <v>非自発・旧保・旧被扶養</v>
      </c>
      <c r="I522" s="354" t="str">
        <f t="shared" si="200"/>
        <v>非自発・旧保・旧被扶養</v>
      </c>
      <c r="J522" s="354" t="str">
        <f t="shared" si="200"/>
        <v>非自発・旧保・旧被扶養</v>
      </c>
      <c r="K522" s="123"/>
      <c r="L522" s="123"/>
      <c r="M522" s="132"/>
      <c r="N522" s="132"/>
      <c r="O522" s="27"/>
      <c r="P522" s="27"/>
      <c r="Q522" s="132"/>
      <c r="R522" s="132"/>
      <c r="S522" s="124"/>
      <c r="T522" s="27"/>
      <c r="U522" s="27"/>
      <c r="V522" s="27"/>
      <c r="W522" s="27"/>
      <c r="X522" s="27"/>
      <c r="Y522" s="27"/>
      <c r="Z522" s="32"/>
      <c r="AA522" s="32"/>
      <c r="AB522" s="27"/>
      <c r="AC522" s="27"/>
      <c r="AD522" s="123"/>
      <c r="AE522" s="210"/>
    </row>
    <row r="523" spans="1:34" s="119" customFormat="1" ht="29.5" customHeight="1" x14ac:dyDescent="0.2">
      <c r="A523" s="210"/>
      <c r="B523" s="32"/>
      <c r="C523" s="32"/>
      <c r="D523" s="139" t="s">
        <v>237</v>
      </c>
      <c r="E523" s="355" t="str">
        <f>IF(OR(AND(E32="", OR(E13&lt;&gt;"", E15&lt;&gt;"", E16&lt;&gt;"", E18&lt;&gt;"", E19&lt;&gt;""))),"入力不備   計算対象外",IF(AND(E32="〇", F46=""),IF(E17&lt;=$E$147, E17, $E$147),IF(E17="", "　 年　 ヶ月", E46)))</f>
        <v>　 年　 ヶ月</v>
      </c>
      <c r="F523" s="355" t="str">
        <f t="shared" ref="F523:J523" si="201">IF(OR(AND(F32="", OR(F13&lt;&gt;"", F15&lt;&gt;"", F16&lt;&gt;"", F18&lt;&gt;"", F19&lt;&gt;""))),"入力不備   計算対象外",IF(AND(F32="〇", G46=""),IF(F17&lt;=$E$147, F17, $E$147),IF(F17="", "　 年　 ヶ月", F46)))</f>
        <v>　 年　 ヶ月</v>
      </c>
      <c r="G523" s="355" t="str">
        <f t="shared" si="201"/>
        <v>　 年　 ヶ月</v>
      </c>
      <c r="H523" s="355" t="str">
        <f t="shared" si="201"/>
        <v>　 年　 ヶ月</v>
      </c>
      <c r="I523" s="355" t="str">
        <f t="shared" si="201"/>
        <v>　 年　 ヶ月</v>
      </c>
      <c r="J523" s="355" t="str">
        <f t="shared" si="201"/>
        <v>　 年　 ヶ月</v>
      </c>
      <c r="K523" s="123"/>
      <c r="L523" s="123"/>
      <c r="M523" s="132"/>
      <c r="N523" s="132"/>
      <c r="O523" s="27"/>
      <c r="P523" s="27"/>
      <c r="Q523" s="132"/>
      <c r="R523" s="132"/>
      <c r="S523" s="124"/>
      <c r="T523" s="27"/>
      <c r="U523" s="27"/>
      <c r="V523" s="27"/>
      <c r="W523" s="27"/>
      <c r="X523" s="27"/>
      <c r="Y523" s="27"/>
      <c r="Z523" s="27"/>
      <c r="AA523" s="27"/>
      <c r="AB523" s="27"/>
      <c r="AC523" s="27"/>
      <c r="AD523" s="123"/>
    </row>
    <row r="524" spans="1:34" s="119" customFormat="1" ht="18.5" customHeight="1" x14ac:dyDescent="0.2">
      <c r="A524" s="210"/>
      <c r="B524" s="32"/>
      <c r="C524" s="32"/>
      <c r="D524" s="356" t="s">
        <v>238</v>
      </c>
      <c r="E524" s="357" t="str">
        <f>IF(OR(E21="",AND(ISTEXT(E523), E523&lt;&gt;"　 年　 ヶ月")),"",E21)</f>
        <v/>
      </c>
      <c r="F524" s="357" t="str">
        <f t="shared" ref="F524:J524" si="202">IF(OR(F21="",AND(ISTEXT(F523), F523&lt;&gt;"　 年　 ヶ月")),"",F21)</f>
        <v/>
      </c>
      <c r="G524" s="357" t="str">
        <f t="shared" si="202"/>
        <v/>
      </c>
      <c r="H524" s="357" t="str">
        <f t="shared" si="202"/>
        <v/>
      </c>
      <c r="I524" s="357" t="str">
        <f t="shared" si="202"/>
        <v/>
      </c>
      <c r="J524" s="357" t="str">
        <f t="shared" si="202"/>
        <v/>
      </c>
      <c r="K524" s="123"/>
      <c r="L524" s="123"/>
      <c r="M524" s="132"/>
      <c r="N524" s="132"/>
      <c r="O524" s="27"/>
      <c r="P524" s="27"/>
      <c r="Q524" s="132"/>
      <c r="R524" s="132"/>
      <c r="S524" s="124"/>
      <c r="T524" s="27"/>
      <c r="U524" s="27"/>
      <c r="V524" s="27"/>
      <c r="W524" s="27"/>
      <c r="X524" s="27"/>
      <c r="Y524" s="27"/>
      <c r="Z524" s="27"/>
      <c r="AA524" s="27"/>
      <c r="AB524" s="27"/>
      <c r="AC524" s="27"/>
      <c r="AD524" s="123"/>
    </row>
    <row r="525" spans="1:34" s="119" customFormat="1" ht="18.5" customHeight="1" x14ac:dyDescent="0.2">
      <c r="A525" s="210"/>
      <c r="B525" s="32"/>
      <c r="C525" s="32"/>
      <c r="D525" s="358" t="str">
        <f>IF(COUNT(E525:H525)&gt;0,"専従者給与","")</f>
        <v/>
      </c>
      <c r="E525" s="359" t="str">
        <f>IF(OR(E22="",AND(ISTEXT(E523), E523&lt;&gt;"　 年　 ヶ月")),"",E22)</f>
        <v/>
      </c>
      <c r="F525" s="359" t="str">
        <f t="shared" ref="F525:J525" si="203">IF(OR(F22="",AND(ISTEXT(F523), F523&lt;&gt;"　 年　 ヶ月")),"",F22)</f>
        <v/>
      </c>
      <c r="G525" s="359" t="str">
        <f t="shared" si="203"/>
        <v/>
      </c>
      <c r="H525" s="359" t="str">
        <f t="shared" si="203"/>
        <v/>
      </c>
      <c r="I525" s="359" t="str">
        <f t="shared" si="203"/>
        <v/>
      </c>
      <c r="J525" s="359" t="str">
        <f t="shared" si="203"/>
        <v/>
      </c>
      <c r="K525" s="210"/>
      <c r="L525" s="210"/>
      <c r="M525" s="360"/>
      <c r="N525" s="360"/>
      <c r="O525" s="32"/>
      <c r="P525" s="32"/>
      <c r="Q525" s="360"/>
      <c r="R525" s="360"/>
      <c r="S525" s="124"/>
      <c r="T525" s="27"/>
      <c r="U525" s="27"/>
      <c r="V525" s="27"/>
      <c r="W525" s="27"/>
      <c r="X525" s="27"/>
      <c r="Y525" s="27"/>
      <c r="Z525" s="27"/>
      <c r="AA525" s="27"/>
      <c r="AB525" s="27"/>
      <c r="AC525" s="27"/>
      <c r="AD525" s="123"/>
    </row>
    <row r="526" spans="1:34" s="119" customFormat="1" ht="18.5" customHeight="1" x14ac:dyDescent="0.2">
      <c r="A526" s="210"/>
      <c r="B526" s="32"/>
      <c r="C526" s="32"/>
      <c r="D526" s="356" t="s">
        <v>239</v>
      </c>
      <c r="E526" s="357" t="str">
        <f>IF(OR(E23="",AND(ISTEXT(E523), E523&lt;&gt;"　 年　 ヶ月")),"",E23)</f>
        <v/>
      </c>
      <c r="F526" s="357" t="str">
        <f t="shared" ref="F526:J526" si="204">IF(OR(F23="",AND(ISTEXT(F523), F523&lt;&gt;"　 年　 ヶ月")),"",F23)</f>
        <v/>
      </c>
      <c r="G526" s="357" t="str">
        <f t="shared" si="204"/>
        <v/>
      </c>
      <c r="H526" s="357" t="str">
        <f t="shared" si="204"/>
        <v/>
      </c>
      <c r="I526" s="357" t="str">
        <f t="shared" si="204"/>
        <v/>
      </c>
      <c r="J526" s="357" t="str">
        <f t="shared" si="204"/>
        <v/>
      </c>
      <c r="K526" s="210"/>
      <c r="L526" s="210"/>
      <c r="M526" s="360"/>
      <c r="N526" s="360"/>
      <c r="O526" s="32"/>
      <c r="P526" s="32"/>
      <c r="Q526" s="360"/>
      <c r="R526" s="360"/>
      <c r="S526" s="124"/>
      <c r="T526" s="27"/>
      <c r="U526" s="27"/>
      <c r="V526" s="27"/>
      <c r="W526" s="27"/>
      <c r="X526" s="27"/>
      <c r="Y526" s="27"/>
      <c r="Z526" s="27"/>
      <c r="AA526" s="27"/>
      <c r="AB526" s="27"/>
      <c r="AC526" s="27"/>
      <c r="AD526" s="123"/>
    </row>
    <row r="527" spans="1:34" s="119" customFormat="1" ht="18.5" customHeight="1" x14ac:dyDescent="0.2">
      <c r="A527" s="210"/>
      <c r="B527" s="32"/>
      <c r="C527" s="32"/>
      <c r="D527" s="358" t="s">
        <v>243</v>
      </c>
      <c r="E527" s="361"/>
      <c r="F527" s="361"/>
      <c r="G527" s="361"/>
      <c r="H527" s="361"/>
      <c r="I527" s="361"/>
      <c r="J527" s="361"/>
      <c r="K527" s="210"/>
      <c r="L527" s="210"/>
      <c r="M527" s="360"/>
      <c r="N527" s="360"/>
      <c r="O527" s="32"/>
      <c r="P527" s="32"/>
      <c r="Q527" s="360"/>
      <c r="R527" s="360"/>
      <c r="S527" s="124"/>
      <c r="T527" s="27"/>
      <c r="U527" s="27"/>
      <c r="V527" s="27"/>
      <c r="W527" s="27"/>
      <c r="X527" s="27"/>
      <c r="Y527" s="27"/>
      <c r="Z527" s="27"/>
      <c r="AA527" s="27"/>
      <c r="AB527" s="27"/>
      <c r="AC527" s="27"/>
      <c r="AD527" s="123"/>
    </row>
    <row r="528" spans="1:34" s="119" customFormat="1" ht="18.5" customHeight="1" x14ac:dyDescent="0.2">
      <c r="A528" s="210"/>
      <c r="B528" s="32"/>
      <c r="C528" s="32"/>
      <c r="D528" s="356" t="s">
        <v>240</v>
      </c>
      <c r="E528" s="357" t="str">
        <f>IF(OR(E24="",AND(ISTEXT(E523), E523&lt;&gt;"　 年　 ヶ月")),"",E24)</f>
        <v/>
      </c>
      <c r="F528" s="357" t="str">
        <f t="shared" ref="F528:J528" si="205">IF(OR(F24="",AND(ISTEXT(F523), F523&lt;&gt;"　 年　 ヶ月")),"",F24)</f>
        <v/>
      </c>
      <c r="G528" s="357" t="str">
        <f t="shared" si="205"/>
        <v/>
      </c>
      <c r="H528" s="357" t="str">
        <f t="shared" si="205"/>
        <v/>
      </c>
      <c r="I528" s="357" t="str">
        <f t="shared" si="205"/>
        <v/>
      </c>
      <c r="J528" s="357" t="str">
        <f t="shared" si="205"/>
        <v/>
      </c>
      <c r="K528" s="210"/>
      <c r="L528" s="210"/>
      <c r="M528" s="360"/>
      <c r="N528" s="360"/>
      <c r="O528" s="32"/>
      <c r="P528" s="32"/>
      <c r="Q528" s="360"/>
      <c r="R528" s="360"/>
      <c r="S528" s="124"/>
      <c r="T528" s="27"/>
      <c r="U528" s="27"/>
      <c r="V528" s="27"/>
      <c r="W528" s="27"/>
      <c r="X528" s="27"/>
      <c r="Y528" s="27"/>
      <c r="Z528" s="27"/>
      <c r="AA528" s="27"/>
      <c r="AB528" s="27"/>
      <c r="AC528" s="27"/>
      <c r="AD528" s="123"/>
    </row>
    <row r="529" spans="1:34" s="119" customFormat="1" ht="18.5" customHeight="1" x14ac:dyDescent="0.2">
      <c r="B529" s="32"/>
      <c r="C529" s="32"/>
      <c r="D529" s="362" t="s">
        <v>241</v>
      </c>
      <c r="E529" s="363"/>
      <c r="F529" s="363"/>
      <c r="G529" s="363"/>
      <c r="H529" s="363"/>
      <c r="I529" s="363"/>
      <c r="J529" s="363"/>
      <c r="K529" s="210"/>
      <c r="L529" s="210"/>
      <c r="M529" s="360"/>
      <c r="N529" s="360"/>
      <c r="O529" s="32"/>
      <c r="P529" s="32"/>
      <c r="Q529" s="360"/>
      <c r="R529" s="360"/>
      <c r="S529" s="124"/>
      <c r="T529" s="27"/>
      <c r="U529" s="27"/>
      <c r="V529" s="27"/>
      <c r="W529" s="27"/>
      <c r="X529" s="27"/>
      <c r="Y529" s="27"/>
      <c r="Z529" s="27"/>
      <c r="AA529" s="27"/>
      <c r="AB529" s="27"/>
      <c r="AC529" s="27"/>
      <c r="AD529" s="123"/>
    </row>
    <row r="530" spans="1:34" s="119" customFormat="1" ht="14" customHeight="1" x14ac:dyDescent="0.2">
      <c r="B530" s="32"/>
      <c r="C530" s="32"/>
      <c r="D530" s="362" t="str">
        <f>IF(COUNT(E530:H530)&gt;0,"専従者控除・特別控除","")</f>
        <v/>
      </c>
      <c r="E530" s="364" t="str">
        <f>IF(OR(E25="",AND(ISTEXT(E523), E523&lt;&gt;"　 年　 ヶ月")),"",E25)</f>
        <v/>
      </c>
      <c r="F530" s="364" t="str">
        <f t="shared" ref="F530:J530" si="206">IF(OR(F25="",AND(ISTEXT(F523), F523&lt;&gt;"　 年　 ヶ月")),"",F25)</f>
        <v/>
      </c>
      <c r="G530" s="364" t="str">
        <f t="shared" si="206"/>
        <v/>
      </c>
      <c r="H530" s="364" t="str">
        <f t="shared" si="206"/>
        <v/>
      </c>
      <c r="I530" s="364" t="str">
        <f t="shared" si="206"/>
        <v/>
      </c>
      <c r="J530" s="364" t="str">
        <f t="shared" si="206"/>
        <v/>
      </c>
      <c r="K530" s="210"/>
      <c r="L530" s="210"/>
      <c r="M530" s="360"/>
      <c r="N530" s="360"/>
      <c r="O530" s="32"/>
      <c r="P530" s="32"/>
      <c r="Q530" s="360"/>
      <c r="R530" s="360"/>
      <c r="S530" s="124"/>
      <c r="T530" s="27"/>
      <c r="U530" s="27"/>
      <c r="V530" s="27"/>
      <c r="W530" s="27"/>
      <c r="X530" s="27"/>
      <c r="Y530" s="27"/>
      <c r="Z530" s="27"/>
      <c r="AA530" s="27"/>
      <c r="AB530" s="27"/>
      <c r="AC530" s="27"/>
      <c r="AD530" s="123"/>
    </row>
    <row r="531" spans="1:34" s="119" customFormat="1" ht="12.75" customHeight="1" x14ac:dyDescent="0.2">
      <c r="B531" s="32"/>
      <c r="C531" s="32"/>
      <c r="D531" s="358" t="s">
        <v>242</v>
      </c>
      <c r="E531" s="365" t="str">
        <f>IF(OR(E30="",AND(ISTEXT(E$523), E$523&lt;&gt;"　 年　 ヶ月")),"","産前産後")</f>
        <v/>
      </c>
      <c r="F531" s="365" t="str">
        <f t="shared" ref="F531:J531" si="207">IF(OR(F30="",AND(ISTEXT(F$523), F$523&lt;&gt;"　 年　 ヶ月")),"","産前産後")</f>
        <v/>
      </c>
      <c r="G531" s="365" t="str">
        <f t="shared" si="207"/>
        <v/>
      </c>
      <c r="H531" s="365" t="str">
        <f t="shared" si="207"/>
        <v/>
      </c>
      <c r="I531" s="365" t="str">
        <f t="shared" si="207"/>
        <v/>
      </c>
      <c r="J531" s="365" t="str">
        <f t="shared" si="207"/>
        <v/>
      </c>
      <c r="K531" s="210"/>
      <c r="L531" s="210"/>
      <c r="M531" s="360"/>
      <c r="N531" s="360"/>
      <c r="O531" s="32"/>
      <c r="P531" s="32"/>
      <c r="Q531" s="360"/>
      <c r="R531" s="360"/>
      <c r="S531" s="124"/>
      <c r="T531" s="27"/>
      <c r="U531" s="27"/>
      <c r="V531" s="27"/>
      <c r="W531" s="27"/>
      <c r="X531" s="27"/>
      <c r="Y531" s="27"/>
      <c r="Z531" s="27"/>
      <c r="AA531" s="27"/>
      <c r="AB531" s="27"/>
      <c r="AC531" s="27"/>
      <c r="AD531" s="123"/>
    </row>
    <row r="532" spans="1:34" s="119" customFormat="1" ht="12.75" customHeight="1" x14ac:dyDescent="0.2">
      <c r="B532" s="32"/>
      <c r="C532" s="27"/>
      <c r="D532" s="27"/>
      <c r="E532" s="118"/>
      <c r="F532" s="118"/>
      <c r="G532" s="118"/>
      <c r="H532" s="118"/>
      <c r="I532" s="118"/>
      <c r="J532" s="210"/>
      <c r="K532" s="366"/>
      <c r="L532" s="366"/>
      <c r="M532" s="366"/>
      <c r="N532" s="366"/>
      <c r="O532" s="366"/>
      <c r="P532" s="366"/>
      <c r="Q532" s="366"/>
      <c r="R532" s="366"/>
      <c r="S532" s="124"/>
      <c r="T532" s="27"/>
      <c r="U532" s="27"/>
      <c r="V532" s="27"/>
      <c r="W532" s="27"/>
      <c r="X532" s="27"/>
      <c r="Y532" s="27"/>
      <c r="Z532" s="27"/>
      <c r="AA532" s="27"/>
      <c r="AB532" s="27"/>
      <c r="AC532" s="27"/>
      <c r="AD532" s="123"/>
    </row>
    <row r="533" spans="1:34" s="119" customFormat="1" ht="16.75" customHeight="1" thickBot="1" x14ac:dyDescent="0.25">
      <c r="B533" s="32"/>
      <c r="C533" s="27"/>
      <c r="D533" s="422" t="s">
        <v>437</v>
      </c>
      <c r="E533" s="422"/>
      <c r="F533" s="422"/>
      <c r="G533" s="422"/>
      <c r="H533" s="423" t="str">
        <f>IF(E146=0,"",E146)</f>
        <v/>
      </c>
      <c r="I533" s="423"/>
      <c r="J533" s="367" t="str">
        <f>IF(E147=0,"",E147)</f>
        <v/>
      </c>
      <c r="K533" s="429" t="str">
        <f>IF(COUNTIF(E32:J32,"〇")=0,"",IF($E$96=0,"※　世帯主入力不備のため正しく計算できません",""))</f>
        <v/>
      </c>
      <c r="L533" s="429"/>
      <c r="M533" s="429"/>
      <c r="N533" s="429"/>
      <c r="O533" s="429"/>
      <c r="P533" s="429"/>
      <c r="Q533" s="429"/>
      <c r="R533" s="429"/>
      <c r="S533" s="124"/>
      <c r="T533" s="27"/>
      <c r="U533" s="27"/>
      <c r="V533" s="27"/>
      <c r="W533" s="27"/>
      <c r="X533" s="27"/>
      <c r="Y533" s="27"/>
      <c r="Z533" s="27"/>
      <c r="AA533" s="27"/>
      <c r="AB533" s="27"/>
      <c r="AC533" s="27"/>
      <c r="AD533" s="123"/>
    </row>
    <row r="534" spans="1:34" s="119" customFormat="1" ht="18.5" customHeight="1" thickTop="1" x14ac:dyDescent="0.2">
      <c r="B534" s="32"/>
      <c r="C534" s="27"/>
      <c r="D534" s="424" t="s">
        <v>244</v>
      </c>
      <c r="E534" s="424"/>
      <c r="F534" s="368"/>
      <c r="G534" s="368"/>
      <c r="H534" s="369"/>
      <c r="I534" s="425" t="str">
        <f>IF(E149="","(       割軽減)","(   " &amp; E149 &amp; " )")</f>
        <v>(       割軽減)</v>
      </c>
      <c r="J534" s="425"/>
      <c r="K534" s="210"/>
      <c r="L534" s="210"/>
      <c r="M534" s="360"/>
      <c r="N534" s="360"/>
      <c r="O534" s="32"/>
      <c r="P534" s="32"/>
      <c r="Q534" s="360"/>
      <c r="R534" s="360"/>
      <c r="S534" s="124"/>
      <c r="T534" s="27"/>
      <c r="U534" s="27"/>
      <c r="V534" s="27"/>
      <c r="W534" s="27"/>
      <c r="X534" s="27"/>
      <c r="Y534" s="27"/>
      <c r="Z534" s="27"/>
      <c r="AA534" s="27"/>
      <c r="AB534" s="27"/>
      <c r="AC534" s="27"/>
      <c r="AD534" s="123"/>
    </row>
    <row r="535" spans="1:34" s="119" customFormat="1" ht="12" customHeight="1" x14ac:dyDescent="0.2">
      <c r="B535" s="32"/>
      <c r="C535" s="27"/>
      <c r="D535" s="27"/>
      <c r="E535" s="118"/>
      <c r="F535" s="118"/>
      <c r="G535" s="118"/>
      <c r="H535" s="118"/>
      <c r="I535" s="118"/>
      <c r="K535" s="210"/>
      <c r="L535" s="210"/>
      <c r="M535" s="360"/>
      <c r="N535" s="360"/>
      <c r="O535" s="32"/>
      <c r="P535" s="32"/>
      <c r="Q535" s="360"/>
      <c r="R535" s="360"/>
      <c r="S535" s="124"/>
      <c r="T535" s="27"/>
      <c r="U535" s="27"/>
      <c r="V535" s="27"/>
      <c r="W535" s="27"/>
      <c r="X535" s="27"/>
      <c r="Y535" s="27"/>
      <c r="Z535" s="27"/>
      <c r="AA535" s="27"/>
      <c r="AB535" s="27"/>
      <c r="AC535" s="27"/>
      <c r="AD535" s="123"/>
    </row>
    <row r="536" spans="1:34" s="119" customFormat="1" ht="23.5" customHeight="1" x14ac:dyDescent="0.2">
      <c r="B536" s="32"/>
      <c r="C536" s="27"/>
      <c r="D536" s="426" t="s">
        <v>245</v>
      </c>
      <c r="E536" s="426"/>
      <c r="F536" s="426"/>
      <c r="G536" s="370"/>
      <c r="H536" s="427" t="str">
        <f>E148</f>
        <v/>
      </c>
      <c r="I536" s="427"/>
      <c r="K536" s="123"/>
      <c r="L536" s="123"/>
      <c r="M536" s="132"/>
      <c r="N536" s="132"/>
      <c r="O536" s="27"/>
      <c r="P536" s="27"/>
      <c r="Q536" s="132"/>
      <c r="R536" s="132"/>
      <c r="S536" s="124"/>
      <c r="T536" s="27"/>
      <c r="U536" s="27"/>
      <c r="V536" s="27"/>
      <c r="W536" s="27"/>
      <c r="X536" s="27"/>
      <c r="Y536" s="27"/>
      <c r="Z536" s="27"/>
      <c r="AA536" s="27"/>
      <c r="AB536" s="27"/>
      <c r="AC536" s="27"/>
      <c r="AD536" s="123"/>
    </row>
    <row r="537" spans="1:34" s="119" customFormat="1" ht="12.75" customHeight="1" x14ac:dyDescent="0.2">
      <c r="B537" s="32"/>
      <c r="C537" s="27"/>
      <c r="D537" s="27"/>
      <c r="E537" s="118"/>
      <c r="F537" s="118"/>
      <c r="G537" s="118"/>
      <c r="H537" s="118"/>
      <c r="I537" s="118"/>
      <c r="K537" s="123"/>
      <c r="L537" s="123"/>
      <c r="M537" s="132"/>
      <c r="N537" s="132"/>
      <c r="O537" s="27"/>
      <c r="P537" s="27"/>
      <c r="Q537" s="132"/>
      <c r="R537" s="132"/>
      <c r="S537" s="124"/>
      <c r="T537" s="27"/>
      <c r="U537" s="27"/>
      <c r="V537" s="27"/>
      <c r="W537" s="27"/>
      <c r="X537" s="27"/>
      <c r="Y537" s="27"/>
      <c r="Z537" s="27"/>
      <c r="AA537" s="27"/>
      <c r="AB537" s="27"/>
      <c r="AC537" s="27"/>
      <c r="AD537" s="123"/>
    </row>
    <row r="538" spans="1:34" s="119" customFormat="1" ht="12.75" customHeight="1" x14ac:dyDescent="0.2">
      <c r="B538" s="32"/>
      <c r="C538" s="27"/>
      <c r="D538" s="27"/>
      <c r="E538" s="118"/>
      <c r="F538" s="118"/>
      <c r="G538" s="118"/>
      <c r="H538" s="118" t="s">
        <v>246</v>
      </c>
      <c r="I538" s="118"/>
      <c r="K538" s="123"/>
      <c r="L538" s="123"/>
      <c r="M538" s="132"/>
      <c r="N538" s="132"/>
      <c r="O538" s="27"/>
      <c r="P538" s="27"/>
      <c r="Q538" s="132"/>
      <c r="R538" s="132"/>
      <c r="S538" s="124"/>
      <c r="T538" s="27"/>
      <c r="U538" s="27"/>
      <c r="V538" s="27"/>
      <c r="W538" s="27"/>
      <c r="X538" s="27"/>
      <c r="Y538" s="27"/>
      <c r="Z538" s="27"/>
      <c r="AA538" s="27"/>
      <c r="AB538" s="27"/>
      <c r="AC538" s="27"/>
      <c r="AD538" s="123"/>
    </row>
    <row r="539" spans="1:34" s="119" customFormat="1" ht="12.75" customHeight="1" x14ac:dyDescent="0.2">
      <c r="B539" s="32"/>
      <c r="C539" s="27"/>
      <c r="D539" s="27"/>
      <c r="E539" s="118"/>
      <c r="F539" s="118"/>
      <c r="G539" s="118"/>
      <c r="H539" s="118"/>
      <c r="I539" s="118"/>
      <c r="K539" s="123"/>
      <c r="L539" s="123"/>
      <c r="M539" s="132"/>
      <c r="N539" s="132"/>
      <c r="O539" s="27"/>
      <c r="P539" s="27"/>
      <c r="Q539" s="132"/>
      <c r="R539" s="132"/>
      <c r="S539" s="124"/>
      <c r="T539" s="27"/>
      <c r="U539" s="27"/>
      <c r="V539" s="27"/>
      <c r="W539" s="27"/>
      <c r="X539" s="27"/>
      <c r="Y539" s="27"/>
      <c r="Z539" s="27"/>
      <c r="AA539" s="27"/>
      <c r="AB539" s="27"/>
      <c r="AC539" s="27"/>
      <c r="AD539" s="123"/>
    </row>
    <row r="540" spans="1:34" s="119" customFormat="1" ht="12.75" customHeight="1" x14ac:dyDescent="0.2">
      <c r="B540" s="32"/>
      <c r="C540" s="27"/>
      <c r="D540" s="428"/>
      <c r="E540" s="428"/>
      <c r="F540" s="428"/>
      <c r="G540" s="428"/>
      <c r="H540" s="118"/>
      <c r="I540" s="118"/>
      <c r="K540" s="123"/>
      <c r="L540" s="123"/>
      <c r="M540" s="132"/>
      <c r="N540" s="132"/>
      <c r="O540" s="27"/>
      <c r="P540" s="27"/>
      <c r="Q540" s="132"/>
      <c r="R540" s="132"/>
      <c r="S540" s="124"/>
      <c r="T540" s="27"/>
      <c r="U540" s="27"/>
      <c r="V540" s="27"/>
      <c r="W540" s="27"/>
      <c r="X540" s="27"/>
      <c r="Y540" s="27"/>
      <c r="Z540" s="27"/>
      <c r="AA540" s="27"/>
      <c r="AB540" s="27"/>
      <c r="AC540" s="27"/>
      <c r="AD540" s="123"/>
    </row>
    <row r="541" spans="1:34" s="119" customFormat="1" ht="13" x14ac:dyDescent="0.2">
      <c r="B541" s="32"/>
      <c r="C541" s="27"/>
      <c r="D541" s="408" t="s">
        <v>247</v>
      </c>
      <c r="E541" s="408"/>
      <c r="F541" s="408"/>
      <c r="G541" s="408"/>
      <c r="H541" s="118"/>
      <c r="I541" s="118"/>
      <c r="K541" s="123"/>
      <c r="L541" s="123"/>
      <c r="M541" s="132"/>
      <c r="N541" s="132"/>
      <c r="O541" s="27"/>
      <c r="P541" s="27"/>
      <c r="Q541" s="132"/>
      <c r="R541" s="132"/>
      <c r="S541" s="124"/>
      <c r="T541" s="27"/>
      <c r="U541" s="27"/>
      <c r="V541" s="27"/>
      <c r="W541" s="27"/>
      <c r="X541" s="27"/>
      <c r="Y541" s="27"/>
      <c r="Z541" s="27"/>
      <c r="AA541" s="27"/>
      <c r="AB541" s="27"/>
      <c r="AC541" s="27"/>
      <c r="AD541" s="123"/>
    </row>
    <row r="542" spans="1:34" s="119" customFormat="1" ht="12.75" customHeight="1" x14ac:dyDescent="0.2">
      <c r="B542" s="32"/>
      <c r="C542" s="27"/>
      <c r="D542" s="27"/>
      <c r="E542" s="118"/>
      <c r="F542" s="118"/>
      <c r="G542" s="118"/>
      <c r="H542" s="118"/>
      <c r="I542" s="118"/>
      <c r="K542" s="123"/>
      <c r="L542" s="123"/>
      <c r="M542" s="132"/>
      <c r="N542" s="132"/>
      <c r="O542" s="27"/>
      <c r="P542" s="27"/>
      <c r="Q542" s="132"/>
      <c r="R542" s="132"/>
      <c r="S542" s="124"/>
      <c r="T542" s="27"/>
      <c r="U542" s="27"/>
      <c r="V542" s="27"/>
      <c r="W542" s="27"/>
      <c r="X542" s="27"/>
      <c r="Y542" s="27"/>
      <c r="Z542" s="27"/>
      <c r="AA542" s="27"/>
      <c r="AB542" s="27"/>
      <c r="AC542" s="27"/>
      <c r="AD542" s="123"/>
    </row>
    <row r="543" spans="1:34" s="119" customFormat="1" ht="12.75" customHeight="1" x14ac:dyDescent="0.2">
      <c r="B543" s="32"/>
      <c r="C543" s="27"/>
      <c r="D543" s="27"/>
      <c r="E543" s="118"/>
      <c r="F543" s="118"/>
      <c r="G543" s="118"/>
      <c r="H543" s="118"/>
      <c r="I543" s="118"/>
      <c r="K543" s="123"/>
      <c r="L543" s="123"/>
      <c r="M543" s="132"/>
      <c r="N543" s="132"/>
      <c r="O543" s="27"/>
      <c r="P543" s="27"/>
      <c r="Q543" s="132"/>
      <c r="R543" s="132"/>
      <c r="S543" s="124"/>
      <c r="T543" s="27"/>
      <c r="U543" s="27"/>
      <c r="V543" s="27"/>
      <c r="W543" s="27"/>
      <c r="X543" s="27"/>
      <c r="Y543" s="27"/>
      <c r="Z543" s="27"/>
      <c r="AA543" s="27"/>
      <c r="AB543" s="27"/>
      <c r="AC543" s="27"/>
      <c r="AD543" s="123"/>
    </row>
    <row r="544" spans="1:34" s="329" customFormat="1" ht="12.75" customHeight="1" x14ac:dyDescent="0.2">
      <c r="A544" s="119"/>
      <c r="B544" s="32"/>
      <c r="C544" s="27"/>
      <c r="D544" s="27"/>
      <c r="E544" s="118"/>
      <c r="F544" s="118"/>
      <c r="G544" s="118"/>
      <c r="H544" s="118"/>
      <c r="I544" s="118"/>
      <c r="J544" s="119"/>
      <c r="K544" s="123"/>
      <c r="L544" s="123"/>
      <c r="M544" s="132"/>
      <c r="N544" s="132"/>
      <c r="O544" s="27"/>
      <c r="P544" s="27"/>
      <c r="Q544" s="132"/>
      <c r="R544" s="132"/>
      <c r="S544" s="124"/>
      <c r="T544" s="27"/>
      <c r="U544" s="27"/>
      <c r="V544" s="27"/>
      <c r="W544" s="27"/>
      <c r="X544" s="27"/>
      <c r="Y544" s="27"/>
      <c r="Z544" s="27"/>
      <c r="AA544" s="27"/>
      <c r="AB544" s="27"/>
      <c r="AC544" s="27"/>
      <c r="AD544" s="123"/>
      <c r="AE544" s="119"/>
      <c r="AF544" s="119"/>
      <c r="AG544" s="119"/>
      <c r="AH544" s="119"/>
    </row>
    <row r="545" spans="1:31" s="329" customFormat="1" ht="12.75" customHeight="1" x14ac:dyDescent="0.2">
      <c r="A545" s="119"/>
      <c r="B545" s="32"/>
      <c r="C545" s="27"/>
      <c r="D545" s="27"/>
      <c r="E545" s="118"/>
      <c r="F545" s="118"/>
      <c r="G545" s="118"/>
      <c r="H545" s="118"/>
      <c r="I545" s="118"/>
      <c r="J545" s="119"/>
      <c r="K545" s="123"/>
      <c r="L545" s="123"/>
      <c r="M545" s="132"/>
      <c r="N545" s="132"/>
      <c r="O545" s="27"/>
      <c r="P545" s="27"/>
      <c r="Q545" s="132"/>
      <c r="R545" s="132"/>
      <c r="S545" s="124"/>
      <c r="T545" s="27"/>
      <c r="U545" s="27"/>
      <c r="V545" s="27"/>
      <c r="W545" s="27"/>
      <c r="X545" s="27"/>
      <c r="Y545" s="27"/>
      <c r="Z545" s="27"/>
      <c r="AA545" s="27"/>
      <c r="AB545" s="27"/>
      <c r="AC545" s="27"/>
      <c r="AD545" s="123"/>
      <c r="AE545" s="119"/>
    </row>
    <row r="546" spans="1:31" s="329" customFormat="1" ht="12.75" customHeight="1" x14ac:dyDescent="0.2">
      <c r="A546" s="119"/>
      <c r="B546" s="32"/>
      <c r="C546" s="27"/>
      <c r="D546" s="27"/>
      <c r="E546" s="118"/>
      <c r="F546" s="118"/>
      <c r="G546" s="118"/>
      <c r="H546" s="118"/>
      <c r="I546" s="118"/>
      <c r="J546" s="119"/>
      <c r="K546" s="123"/>
      <c r="L546" s="123"/>
      <c r="M546" s="132"/>
      <c r="N546" s="132"/>
      <c r="O546" s="27"/>
      <c r="P546" s="27"/>
      <c r="Q546" s="132"/>
      <c r="R546" s="132"/>
      <c r="S546" s="124"/>
      <c r="T546" s="27"/>
      <c r="U546" s="27"/>
      <c r="V546" s="27"/>
      <c r="W546" s="27"/>
      <c r="X546" s="27"/>
      <c r="Y546" s="27"/>
      <c r="Z546" s="27"/>
      <c r="AA546" s="27"/>
      <c r="AB546" s="27"/>
      <c r="AC546" s="27"/>
      <c r="AD546" s="123"/>
      <c r="AE546" s="119"/>
    </row>
    <row r="547" spans="1:31" s="329" customFormat="1" ht="12.75" customHeight="1" x14ac:dyDescent="0.2">
      <c r="A547" s="119"/>
      <c r="B547" s="32"/>
      <c r="C547" s="27"/>
      <c r="D547" s="27"/>
      <c r="E547" s="118"/>
      <c r="F547" s="118"/>
      <c r="G547" s="118"/>
      <c r="H547" s="118"/>
      <c r="I547" s="118"/>
      <c r="J547" s="119"/>
      <c r="K547" s="123"/>
      <c r="L547" s="123"/>
      <c r="M547" s="132"/>
      <c r="N547" s="132"/>
      <c r="O547" s="27"/>
      <c r="P547" s="27"/>
      <c r="Q547" s="132"/>
      <c r="R547" s="132"/>
      <c r="S547" s="124"/>
      <c r="T547" s="27"/>
      <c r="U547" s="27"/>
      <c r="V547" s="27"/>
      <c r="W547" s="27"/>
      <c r="X547" s="27"/>
      <c r="Y547" s="27"/>
      <c r="Z547" s="27"/>
      <c r="AA547" s="27"/>
      <c r="AB547" s="27"/>
      <c r="AC547" s="27"/>
      <c r="AD547" s="123"/>
    </row>
    <row r="548" spans="1:31" s="329" customFormat="1" ht="12.75" customHeight="1" x14ac:dyDescent="0.2">
      <c r="A548" s="119"/>
      <c r="B548" s="32"/>
      <c r="C548" s="27"/>
      <c r="D548" s="27"/>
      <c r="E548" s="118"/>
      <c r="F548" s="118"/>
      <c r="G548" s="118"/>
      <c r="H548" s="118"/>
      <c r="I548" s="118"/>
      <c r="J548" s="119"/>
      <c r="K548" s="123"/>
      <c r="L548" s="123"/>
      <c r="M548" s="132"/>
      <c r="N548" s="132"/>
      <c r="O548" s="27"/>
      <c r="P548" s="27"/>
      <c r="Q548" s="132"/>
      <c r="R548" s="132"/>
      <c r="S548" s="124"/>
      <c r="T548" s="27"/>
      <c r="U548" s="27"/>
      <c r="V548" s="27"/>
      <c r="W548" s="27"/>
      <c r="X548" s="27"/>
      <c r="Y548" s="27"/>
      <c r="Z548" s="27"/>
      <c r="AA548" s="27"/>
      <c r="AB548" s="27"/>
      <c r="AC548" s="27"/>
      <c r="AD548" s="123"/>
    </row>
    <row r="549" spans="1:31" s="329" customFormat="1" ht="12.75" customHeight="1" x14ac:dyDescent="0.2">
      <c r="A549" s="119"/>
      <c r="B549" s="32"/>
      <c r="C549" s="27"/>
      <c r="D549" s="27"/>
      <c r="E549" s="118"/>
      <c r="F549" s="118"/>
      <c r="G549" s="118"/>
      <c r="H549" s="118"/>
      <c r="I549" s="118"/>
      <c r="J549" s="119"/>
      <c r="K549" s="123"/>
      <c r="L549" s="123"/>
      <c r="M549" s="132"/>
      <c r="N549" s="132"/>
      <c r="O549" s="27"/>
      <c r="P549" s="27"/>
      <c r="Q549" s="132"/>
      <c r="R549" s="132"/>
      <c r="S549" s="124"/>
      <c r="T549" s="27"/>
      <c r="U549" s="27"/>
      <c r="V549" s="27"/>
      <c r="W549" s="27"/>
      <c r="X549" s="27"/>
      <c r="Y549" s="27"/>
      <c r="Z549" s="27"/>
      <c r="AA549" s="27"/>
      <c r="AB549" s="27"/>
      <c r="AC549" s="27"/>
      <c r="AD549" s="123"/>
    </row>
    <row r="550" spans="1:31" s="329" customFormat="1" ht="12.75" customHeight="1" x14ac:dyDescent="0.2">
      <c r="A550" s="119"/>
      <c r="B550" s="32"/>
      <c r="C550" s="27"/>
      <c r="D550" s="27"/>
      <c r="E550" s="118"/>
      <c r="F550" s="118"/>
      <c r="G550" s="118"/>
      <c r="H550" s="118"/>
      <c r="I550" s="118"/>
      <c r="J550" s="119"/>
      <c r="K550" s="123"/>
      <c r="L550" s="123"/>
      <c r="M550" s="132"/>
      <c r="N550" s="132"/>
      <c r="O550" s="27"/>
      <c r="P550" s="27"/>
      <c r="Q550" s="132"/>
      <c r="R550" s="132"/>
      <c r="S550" s="124"/>
      <c r="T550" s="27"/>
      <c r="U550" s="27"/>
      <c r="V550" s="27"/>
      <c r="W550" s="27"/>
      <c r="X550" s="27"/>
      <c r="Y550" s="27"/>
      <c r="Z550" s="27"/>
      <c r="AA550" s="27"/>
      <c r="AB550" s="27"/>
      <c r="AC550" s="27"/>
      <c r="AD550" s="123"/>
    </row>
    <row r="551" spans="1:31" s="329" customFormat="1" ht="12.75" customHeight="1" x14ac:dyDescent="0.2">
      <c r="A551" s="119"/>
      <c r="B551" s="32"/>
      <c r="C551" s="27"/>
      <c r="D551" s="27"/>
      <c r="E551" s="118"/>
      <c r="F551" s="118"/>
      <c r="G551" s="118"/>
      <c r="H551" s="118"/>
      <c r="I551" s="118"/>
      <c r="J551" s="119"/>
      <c r="K551" s="123"/>
      <c r="L551" s="123"/>
      <c r="M551" s="132"/>
      <c r="N551" s="132"/>
      <c r="O551" s="27"/>
      <c r="P551" s="27"/>
      <c r="Q551" s="132"/>
      <c r="R551" s="132"/>
      <c r="S551" s="124"/>
      <c r="T551" s="27"/>
      <c r="U551" s="27"/>
      <c r="V551" s="27"/>
      <c r="W551" s="27"/>
      <c r="X551" s="27"/>
      <c r="Y551" s="27"/>
      <c r="Z551" s="27"/>
      <c r="AA551" s="27"/>
      <c r="AB551" s="27"/>
      <c r="AC551" s="27"/>
      <c r="AD551" s="123"/>
    </row>
    <row r="552" spans="1:31" s="329" customFormat="1" ht="12.75" customHeight="1" x14ac:dyDescent="0.2">
      <c r="A552" s="119"/>
      <c r="B552" s="32"/>
      <c r="C552" s="27"/>
      <c r="D552" s="27"/>
      <c r="E552" s="118"/>
      <c r="F552" s="118"/>
      <c r="G552" s="118"/>
      <c r="H552" s="118"/>
      <c r="I552" s="118"/>
      <c r="J552" s="119"/>
      <c r="K552" s="123"/>
      <c r="L552" s="123"/>
      <c r="M552" s="132"/>
      <c r="N552" s="132"/>
      <c r="O552" s="27"/>
      <c r="P552" s="27"/>
      <c r="Q552" s="132"/>
      <c r="R552" s="132"/>
      <c r="S552" s="124"/>
      <c r="T552" s="27"/>
      <c r="U552" s="27"/>
      <c r="V552" s="27"/>
      <c r="W552" s="27"/>
      <c r="X552" s="27"/>
      <c r="Y552" s="27"/>
      <c r="Z552" s="27"/>
      <c r="AA552" s="27"/>
      <c r="AB552" s="27"/>
      <c r="AC552" s="27"/>
      <c r="AD552" s="123"/>
    </row>
    <row r="553" spans="1:31" s="329" customFormat="1" ht="12.75" customHeight="1" x14ac:dyDescent="0.2">
      <c r="A553" s="119"/>
      <c r="B553" s="32"/>
      <c r="C553" s="27"/>
      <c r="D553" s="27"/>
      <c r="E553" s="118"/>
      <c r="F553" s="118"/>
      <c r="G553" s="118"/>
      <c r="H553" s="118"/>
      <c r="I553" s="118"/>
      <c r="J553" s="119"/>
      <c r="K553" s="123"/>
      <c r="L553" s="123"/>
      <c r="M553" s="132"/>
      <c r="N553" s="132"/>
      <c r="O553" s="27"/>
      <c r="P553" s="27"/>
      <c r="Q553" s="132"/>
      <c r="R553" s="132"/>
      <c r="S553" s="124"/>
      <c r="T553" s="27"/>
      <c r="U553" s="27"/>
      <c r="V553" s="27"/>
      <c r="W553" s="27"/>
      <c r="X553" s="27"/>
      <c r="Y553" s="27"/>
      <c r="Z553" s="27"/>
      <c r="AA553" s="27"/>
      <c r="AB553" s="27"/>
      <c r="AC553" s="27"/>
      <c r="AD553" s="123"/>
    </row>
    <row r="554" spans="1:31" s="329" customFormat="1" ht="12.75" customHeight="1" x14ac:dyDescent="0.2">
      <c r="A554" s="119"/>
      <c r="B554" s="32"/>
      <c r="C554" s="27"/>
      <c r="D554" s="27"/>
      <c r="E554" s="118"/>
      <c r="F554" s="118"/>
      <c r="G554" s="118"/>
      <c r="H554" s="118"/>
      <c r="I554" s="118"/>
      <c r="J554" s="119"/>
      <c r="K554" s="123"/>
      <c r="L554" s="123"/>
      <c r="M554" s="132"/>
      <c r="N554" s="132"/>
      <c r="O554" s="27"/>
      <c r="P554" s="27"/>
      <c r="Q554" s="132"/>
      <c r="R554" s="132"/>
      <c r="S554" s="124"/>
      <c r="T554" s="27"/>
      <c r="U554" s="27"/>
      <c r="V554" s="27"/>
      <c r="W554" s="27"/>
      <c r="X554" s="27"/>
      <c r="Y554" s="27"/>
      <c r="Z554" s="27"/>
      <c r="AA554" s="27"/>
      <c r="AB554" s="27"/>
      <c r="AC554" s="27"/>
      <c r="AD554" s="123"/>
    </row>
    <row r="555" spans="1:31" s="329" customFormat="1" ht="12.75" customHeight="1" x14ac:dyDescent="0.2">
      <c r="A555" s="119"/>
      <c r="B555" s="32"/>
      <c r="C555" s="27"/>
      <c r="D555" s="27"/>
      <c r="E555" s="118"/>
      <c r="F555" s="118"/>
      <c r="G555" s="118"/>
      <c r="H555" s="118"/>
      <c r="I555" s="118"/>
      <c r="J555" s="119"/>
      <c r="K555" s="123"/>
      <c r="L555" s="123"/>
      <c r="M555" s="132"/>
      <c r="N555" s="132"/>
      <c r="O555" s="27"/>
      <c r="P555" s="27"/>
      <c r="Q555" s="132"/>
      <c r="R555" s="132"/>
      <c r="S555" s="124"/>
      <c r="T555" s="27"/>
      <c r="U555" s="27"/>
      <c r="V555" s="27"/>
      <c r="W555" s="27"/>
      <c r="X555" s="27"/>
      <c r="Y555" s="27"/>
      <c r="Z555" s="27"/>
      <c r="AA555" s="27"/>
      <c r="AB555" s="27"/>
      <c r="AC555" s="27"/>
      <c r="AD555" s="123"/>
    </row>
    <row r="556" spans="1:31" s="329" customFormat="1" ht="12.75" customHeight="1" x14ac:dyDescent="0.2">
      <c r="A556" s="119"/>
      <c r="B556" s="32"/>
      <c r="C556" s="27"/>
      <c r="D556" s="27"/>
      <c r="E556" s="118"/>
      <c r="F556" s="118"/>
      <c r="G556" s="118"/>
      <c r="H556" s="118"/>
      <c r="I556" s="118"/>
      <c r="J556" s="119"/>
      <c r="K556" s="123"/>
      <c r="L556" s="123"/>
      <c r="M556" s="132"/>
      <c r="N556" s="132"/>
      <c r="O556" s="27"/>
      <c r="P556" s="27"/>
      <c r="Q556" s="132"/>
      <c r="R556" s="132"/>
      <c r="S556" s="124"/>
      <c r="T556" s="27"/>
      <c r="U556" s="27"/>
      <c r="V556" s="27"/>
      <c r="W556" s="27"/>
      <c r="X556" s="27"/>
      <c r="Y556" s="27"/>
      <c r="Z556" s="27"/>
      <c r="AA556" s="27"/>
      <c r="AB556" s="27"/>
      <c r="AC556" s="27"/>
      <c r="AD556" s="123"/>
    </row>
    <row r="557" spans="1:31" s="329" customFormat="1" ht="12.75" customHeight="1" x14ac:dyDescent="0.2">
      <c r="A557" s="119"/>
      <c r="B557" s="32"/>
      <c r="C557" s="27"/>
      <c r="D557" s="27"/>
      <c r="E557" s="118"/>
      <c r="F557" s="118"/>
      <c r="G557" s="118"/>
      <c r="H557" s="118"/>
      <c r="I557" s="118"/>
      <c r="J557" s="119"/>
      <c r="K557" s="123"/>
      <c r="L557" s="123"/>
      <c r="M557" s="132"/>
      <c r="N557" s="132"/>
      <c r="O557" s="27"/>
      <c r="P557" s="27"/>
      <c r="Q557" s="132"/>
      <c r="R557" s="132"/>
      <c r="S557" s="124"/>
      <c r="T557" s="27"/>
      <c r="U557" s="27"/>
      <c r="V557" s="27"/>
      <c r="W557" s="27"/>
      <c r="X557" s="27"/>
      <c r="Y557" s="27"/>
      <c r="Z557" s="27"/>
      <c r="AA557" s="27"/>
      <c r="AB557" s="27"/>
      <c r="AC557" s="27"/>
      <c r="AD557" s="123"/>
    </row>
    <row r="558" spans="1:31" s="329" customFormat="1" ht="12.75" customHeight="1" x14ac:dyDescent="0.2">
      <c r="A558" s="119"/>
      <c r="B558" s="32"/>
      <c r="C558" s="27"/>
      <c r="D558" s="27"/>
      <c r="E558" s="118"/>
      <c r="F558" s="118"/>
      <c r="G558" s="118"/>
      <c r="H558" s="118"/>
      <c r="I558" s="118"/>
      <c r="J558" s="119"/>
      <c r="K558" s="123"/>
      <c r="L558" s="123"/>
      <c r="M558" s="132"/>
      <c r="N558" s="132"/>
      <c r="O558" s="27"/>
      <c r="P558" s="27"/>
      <c r="Q558" s="132"/>
      <c r="R558" s="132"/>
      <c r="S558" s="124"/>
      <c r="T558" s="27"/>
      <c r="U558" s="27"/>
      <c r="V558" s="27"/>
      <c r="W558" s="27"/>
      <c r="X558" s="27"/>
      <c r="Y558" s="27"/>
      <c r="Z558" s="27"/>
      <c r="AA558" s="27"/>
      <c r="AB558" s="27"/>
      <c r="AC558" s="27"/>
      <c r="AD558" s="123"/>
    </row>
    <row r="559" spans="1:31" s="329" customFormat="1" ht="12.75" customHeight="1" x14ac:dyDescent="0.2">
      <c r="A559" s="119"/>
      <c r="B559" s="32"/>
      <c r="C559" s="27"/>
      <c r="D559" s="27"/>
      <c r="E559" s="118"/>
      <c r="F559" s="118"/>
      <c r="G559" s="118"/>
      <c r="H559" s="118"/>
      <c r="I559" s="118"/>
      <c r="J559" s="119"/>
      <c r="K559" s="123"/>
      <c r="L559" s="123"/>
      <c r="M559" s="132"/>
      <c r="N559" s="132"/>
      <c r="O559" s="27"/>
      <c r="P559" s="27"/>
      <c r="Q559" s="132"/>
      <c r="R559" s="132"/>
      <c r="S559" s="124"/>
      <c r="T559" s="27"/>
      <c r="U559" s="27"/>
      <c r="V559" s="27"/>
      <c r="W559" s="27"/>
      <c r="X559" s="27"/>
      <c r="Y559" s="27"/>
      <c r="Z559" s="27"/>
      <c r="AA559" s="27"/>
      <c r="AB559" s="27"/>
      <c r="AC559" s="27"/>
      <c r="AD559" s="123"/>
    </row>
    <row r="560" spans="1:31" s="329" customFormat="1" ht="12.75" customHeight="1" x14ac:dyDescent="0.2">
      <c r="A560" s="119"/>
      <c r="B560" s="32"/>
      <c r="C560" s="27"/>
      <c r="D560" s="27"/>
      <c r="E560" s="118"/>
      <c r="F560" s="118"/>
      <c r="G560" s="118"/>
      <c r="H560" s="118"/>
      <c r="I560" s="118"/>
      <c r="J560" s="119"/>
      <c r="K560" s="123"/>
      <c r="L560" s="123"/>
      <c r="M560" s="132"/>
      <c r="N560" s="132"/>
      <c r="O560" s="27"/>
      <c r="P560" s="27"/>
      <c r="Q560" s="132"/>
      <c r="R560" s="132"/>
      <c r="S560" s="124"/>
      <c r="T560" s="27"/>
      <c r="U560" s="27"/>
      <c r="V560" s="27"/>
      <c r="W560" s="27"/>
      <c r="X560" s="27"/>
      <c r="Y560" s="27"/>
      <c r="Z560" s="27"/>
      <c r="AA560" s="27"/>
      <c r="AB560" s="27"/>
      <c r="AC560" s="27"/>
      <c r="AD560" s="123"/>
    </row>
    <row r="561" spans="1:30" s="329" customFormat="1" ht="12.75" customHeight="1" x14ac:dyDescent="0.2">
      <c r="A561" s="119"/>
      <c r="B561" s="32"/>
      <c r="C561" s="27"/>
      <c r="D561" s="27"/>
      <c r="E561" s="118"/>
      <c r="F561" s="118"/>
      <c r="G561" s="118"/>
      <c r="H561" s="118"/>
      <c r="I561" s="118"/>
      <c r="J561" s="119"/>
      <c r="K561" s="123"/>
      <c r="L561" s="123"/>
      <c r="M561" s="132"/>
      <c r="N561" s="132"/>
      <c r="O561" s="27"/>
      <c r="P561" s="27"/>
      <c r="Q561" s="132"/>
      <c r="R561" s="132"/>
      <c r="S561" s="124"/>
      <c r="T561" s="27"/>
      <c r="U561" s="27"/>
      <c r="V561" s="27"/>
      <c r="W561" s="27"/>
      <c r="X561" s="27"/>
      <c r="Y561" s="27"/>
      <c r="Z561" s="27"/>
      <c r="AA561" s="27"/>
      <c r="AB561" s="27"/>
      <c r="AC561" s="27"/>
      <c r="AD561" s="123"/>
    </row>
    <row r="562" spans="1:30" s="329" customFormat="1" ht="12.75" customHeight="1" x14ac:dyDescent="0.2">
      <c r="A562" s="119"/>
      <c r="B562" s="32"/>
      <c r="C562" s="27"/>
      <c r="D562" s="27"/>
      <c r="E562" s="118"/>
      <c r="F562" s="118"/>
      <c r="G562" s="118"/>
      <c r="H562" s="118"/>
      <c r="I562" s="118"/>
      <c r="J562" s="119"/>
      <c r="K562" s="123"/>
      <c r="L562" s="123"/>
      <c r="M562" s="132"/>
      <c r="N562" s="132"/>
      <c r="O562" s="27"/>
      <c r="P562" s="27"/>
      <c r="Q562" s="132"/>
      <c r="R562" s="132"/>
      <c r="S562" s="124"/>
      <c r="T562" s="27"/>
      <c r="U562" s="27"/>
      <c r="V562" s="27"/>
      <c r="W562" s="27"/>
      <c r="X562" s="27"/>
      <c r="Y562" s="27"/>
      <c r="Z562" s="27"/>
      <c r="AA562" s="27"/>
      <c r="AB562" s="27"/>
      <c r="AC562" s="27"/>
      <c r="AD562" s="123"/>
    </row>
    <row r="563" spans="1:30" s="329" customFormat="1" ht="12.75" customHeight="1" x14ac:dyDescent="0.2">
      <c r="A563" s="119"/>
      <c r="B563" s="32"/>
      <c r="C563" s="27"/>
      <c r="D563" s="27"/>
      <c r="E563" s="118"/>
      <c r="F563" s="118"/>
      <c r="G563" s="118"/>
      <c r="H563" s="118"/>
      <c r="I563" s="118"/>
      <c r="J563" s="119"/>
      <c r="K563" s="123"/>
      <c r="L563" s="123"/>
      <c r="M563" s="132"/>
      <c r="N563" s="132"/>
      <c r="O563" s="27"/>
      <c r="P563" s="27"/>
      <c r="Q563" s="132"/>
      <c r="R563" s="132"/>
      <c r="S563" s="124"/>
      <c r="T563" s="27"/>
      <c r="U563" s="27"/>
      <c r="V563" s="27"/>
      <c r="W563" s="27"/>
      <c r="X563" s="27"/>
      <c r="Y563" s="27"/>
      <c r="Z563" s="27"/>
      <c r="AA563" s="27"/>
      <c r="AB563" s="27"/>
      <c r="AC563" s="27"/>
      <c r="AD563" s="123"/>
    </row>
    <row r="564" spans="1:30" s="329" customFormat="1" ht="12.75" customHeight="1" x14ac:dyDescent="0.2">
      <c r="A564" s="119"/>
      <c r="B564" s="32"/>
      <c r="C564" s="27"/>
      <c r="D564" s="27"/>
      <c r="E564" s="118"/>
      <c r="F564" s="118"/>
      <c r="G564" s="118"/>
      <c r="H564" s="118"/>
      <c r="I564" s="118"/>
      <c r="J564" s="119"/>
      <c r="K564" s="123"/>
      <c r="L564" s="123"/>
      <c r="M564" s="132"/>
      <c r="N564" s="132"/>
      <c r="O564" s="27"/>
      <c r="P564" s="27"/>
      <c r="Q564" s="132"/>
      <c r="R564" s="132"/>
      <c r="S564" s="124"/>
      <c r="T564" s="27"/>
      <c r="U564" s="27"/>
      <c r="V564" s="27"/>
      <c r="W564" s="27"/>
      <c r="X564" s="27"/>
      <c r="Y564" s="27"/>
      <c r="Z564" s="27"/>
      <c r="AA564" s="27"/>
      <c r="AB564" s="27"/>
      <c r="AC564" s="27"/>
      <c r="AD564" s="123"/>
    </row>
    <row r="565" spans="1:30" s="329" customFormat="1" ht="12.75" customHeight="1" x14ac:dyDescent="0.2">
      <c r="A565" s="119"/>
      <c r="B565" s="32"/>
      <c r="C565" s="27"/>
      <c r="D565" s="27"/>
      <c r="E565" s="118"/>
      <c r="F565" s="118"/>
      <c r="G565" s="118"/>
      <c r="H565" s="118"/>
      <c r="I565" s="118"/>
      <c r="J565" s="119"/>
      <c r="K565" s="123"/>
      <c r="L565" s="123"/>
      <c r="M565" s="132"/>
      <c r="N565" s="132"/>
      <c r="O565" s="27"/>
      <c r="P565" s="27"/>
      <c r="Q565" s="132"/>
      <c r="R565" s="132"/>
      <c r="S565" s="124"/>
      <c r="T565" s="27"/>
      <c r="U565" s="27"/>
      <c r="V565" s="27"/>
      <c r="W565" s="27"/>
      <c r="X565" s="27"/>
      <c r="Y565" s="27"/>
      <c r="Z565" s="27"/>
      <c r="AA565" s="27"/>
      <c r="AB565" s="27"/>
      <c r="AC565" s="27"/>
      <c r="AD565" s="123"/>
    </row>
    <row r="566" spans="1:30" s="329" customFormat="1" ht="12.75" customHeight="1" x14ac:dyDescent="0.2">
      <c r="A566" s="119"/>
      <c r="B566" s="32"/>
      <c r="C566" s="27"/>
      <c r="D566" s="27"/>
      <c r="E566" s="118"/>
      <c r="F566" s="118"/>
      <c r="G566" s="118"/>
      <c r="H566" s="118"/>
      <c r="I566" s="118"/>
      <c r="J566" s="119"/>
      <c r="K566" s="123"/>
      <c r="L566" s="123"/>
      <c r="M566" s="132"/>
      <c r="N566" s="132"/>
      <c r="O566" s="27"/>
      <c r="P566" s="27"/>
      <c r="Q566" s="132"/>
      <c r="R566" s="132"/>
      <c r="S566" s="124"/>
      <c r="T566" s="27"/>
      <c r="U566" s="27"/>
      <c r="V566" s="27"/>
      <c r="W566" s="27"/>
      <c r="X566" s="27"/>
      <c r="Y566" s="27"/>
      <c r="Z566" s="27"/>
      <c r="AA566" s="27"/>
      <c r="AB566" s="27"/>
      <c r="AC566" s="27"/>
      <c r="AD566" s="123"/>
    </row>
    <row r="567" spans="1:30" s="329" customFormat="1" ht="12.75" customHeight="1" x14ac:dyDescent="0.2">
      <c r="A567" s="119"/>
      <c r="B567" s="32"/>
      <c r="C567" s="27"/>
      <c r="D567" s="27"/>
      <c r="E567" s="118"/>
      <c r="F567" s="118"/>
      <c r="G567" s="118"/>
      <c r="H567" s="118"/>
      <c r="I567" s="118"/>
      <c r="J567" s="119"/>
      <c r="K567" s="123"/>
      <c r="L567" s="123"/>
      <c r="M567" s="132"/>
      <c r="N567" s="132"/>
      <c r="O567" s="27"/>
      <c r="P567" s="27"/>
      <c r="Q567" s="132"/>
      <c r="R567" s="132"/>
      <c r="S567" s="124"/>
      <c r="T567" s="27"/>
      <c r="U567" s="27"/>
      <c r="V567" s="27"/>
      <c r="W567" s="27"/>
      <c r="X567" s="27"/>
      <c r="Y567" s="27"/>
      <c r="Z567" s="27"/>
      <c r="AA567" s="27"/>
      <c r="AB567" s="27"/>
      <c r="AC567" s="27"/>
      <c r="AD567" s="123"/>
    </row>
    <row r="568" spans="1:30" s="329" customFormat="1" ht="12.75" customHeight="1" x14ac:dyDescent="0.2">
      <c r="A568" s="119"/>
      <c r="B568" s="32"/>
      <c r="C568" s="27"/>
      <c r="D568" s="27"/>
      <c r="E568" s="118"/>
      <c r="F568" s="118"/>
      <c r="G568" s="118"/>
      <c r="H568" s="118"/>
      <c r="I568" s="118"/>
      <c r="J568" s="119"/>
      <c r="K568" s="123"/>
      <c r="L568" s="123"/>
      <c r="M568" s="132"/>
      <c r="N568" s="132"/>
      <c r="O568" s="27"/>
      <c r="P568" s="27"/>
      <c r="Q568" s="132"/>
      <c r="R568" s="132"/>
      <c r="S568" s="124"/>
      <c r="T568" s="27"/>
      <c r="U568" s="27"/>
      <c r="V568" s="27"/>
      <c r="W568" s="27"/>
      <c r="X568" s="27"/>
      <c r="Y568" s="27"/>
      <c r="Z568" s="27"/>
      <c r="AA568" s="27"/>
      <c r="AB568" s="27"/>
      <c r="AC568" s="27"/>
      <c r="AD568" s="123"/>
    </row>
    <row r="569" spans="1:30" s="329" customFormat="1" ht="12.75" customHeight="1" x14ac:dyDescent="0.2">
      <c r="A569" s="119"/>
      <c r="B569" s="32"/>
      <c r="C569" s="27"/>
      <c r="D569" s="27"/>
      <c r="E569" s="118"/>
      <c r="F569" s="118"/>
      <c r="G569" s="118"/>
      <c r="H569" s="118"/>
      <c r="I569" s="118"/>
      <c r="J569" s="119"/>
      <c r="K569" s="123"/>
      <c r="L569" s="123"/>
      <c r="M569" s="132"/>
      <c r="N569" s="132"/>
      <c r="O569" s="27"/>
      <c r="P569" s="27"/>
      <c r="Q569" s="132"/>
      <c r="R569" s="132"/>
      <c r="S569" s="124"/>
      <c r="T569" s="27"/>
      <c r="U569" s="27"/>
      <c r="V569" s="27"/>
      <c r="W569" s="27"/>
      <c r="X569" s="27"/>
      <c r="Y569" s="27"/>
      <c r="Z569" s="27"/>
      <c r="AA569" s="27"/>
      <c r="AB569" s="27"/>
      <c r="AC569" s="27"/>
      <c r="AD569" s="123"/>
    </row>
    <row r="570" spans="1:30" s="329" customFormat="1" ht="12.75" customHeight="1" x14ac:dyDescent="0.2">
      <c r="A570" s="119"/>
      <c r="B570" s="32"/>
      <c r="C570" s="27"/>
      <c r="D570" s="27"/>
      <c r="E570" s="118"/>
      <c r="F570" s="118"/>
      <c r="G570" s="118"/>
      <c r="H570" s="118"/>
      <c r="I570" s="118"/>
      <c r="J570" s="119"/>
      <c r="K570" s="123"/>
      <c r="L570" s="123"/>
      <c r="M570" s="132"/>
      <c r="N570" s="132"/>
      <c r="O570" s="27"/>
      <c r="P570" s="27"/>
      <c r="Q570" s="132"/>
      <c r="R570" s="132"/>
      <c r="S570" s="124"/>
      <c r="T570" s="27"/>
      <c r="U570" s="27"/>
      <c r="V570" s="27"/>
      <c r="W570" s="27"/>
      <c r="X570" s="27"/>
      <c r="Y570" s="27"/>
      <c r="Z570" s="27"/>
      <c r="AA570" s="27"/>
      <c r="AB570" s="27"/>
      <c r="AC570" s="27"/>
      <c r="AD570" s="123"/>
    </row>
    <row r="571" spans="1:30" s="329" customFormat="1" ht="12.75" customHeight="1" x14ac:dyDescent="0.2">
      <c r="A571" s="119"/>
      <c r="B571" s="32"/>
      <c r="C571" s="27"/>
      <c r="D571" s="27"/>
      <c r="E571" s="118"/>
      <c r="F571" s="118"/>
      <c r="G571" s="118"/>
      <c r="H571" s="118"/>
      <c r="I571" s="118"/>
      <c r="J571" s="119"/>
      <c r="K571" s="123"/>
      <c r="L571" s="123"/>
      <c r="M571" s="132"/>
      <c r="N571" s="132"/>
      <c r="O571" s="27"/>
      <c r="P571" s="27"/>
      <c r="Q571" s="132"/>
      <c r="R571" s="132"/>
      <c r="S571" s="124"/>
      <c r="T571" s="27"/>
      <c r="U571" s="27"/>
      <c r="V571" s="27"/>
      <c r="W571" s="27"/>
      <c r="X571" s="27"/>
      <c r="Y571" s="27"/>
      <c r="Z571" s="27"/>
      <c r="AA571" s="27"/>
      <c r="AB571" s="27"/>
      <c r="AC571" s="27"/>
      <c r="AD571" s="123"/>
    </row>
    <row r="572" spans="1:30" s="329" customFormat="1" ht="12.75" customHeight="1" x14ac:dyDescent="0.2">
      <c r="A572" s="119"/>
      <c r="B572" s="32"/>
      <c r="C572" s="27"/>
      <c r="D572" s="27"/>
      <c r="E572" s="118"/>
      <c r="F572" s="118"/>
      <c r="G572" s="118"/>
      <c r="H572" s="118"/>
      <c r="I572" s="118"/>
      <c r="J572" s="119"/>
      <c r="K572" s="123"/>
      <c r="L572" s="123"/>
      <c r="M572" s="132"/>
      <c r="N572" s="132"/>
      <c r="O572" s="27"/>
      <c r="P572" s="27"/>
      <c r="Q572" s="132"/>
      <c r="R572" s="132"/>
      <c r="S572" s="124"/>
      <c r="T572" s="27"/>
      <c r="U572" s="27"/>
      <c r="V572" s="27"/>
      <c r="W572" s="27"/>
      <c r="X572" s="27"/>
      <c r="Y572" s="27"/>
      <c r="Z572" s="27"/>
      <c r="AA572" s="27"/>
      <c r="AB572" s="27"/>
      <c r="AC572" s="27"/>
      <c r="AD572" s="123"/>
    </row>
    <row r="573" spans="1:30" s="329" customFormat="1" ht="12.75" customHeight="1" x14ac:dyDescent="0.2">
      <c r="A573" s="119"/>
      <c r="B573" s="32"/>
      <c r="C573" s="27"/>
      <c r="D573" s="27"/>
      <c r="E573" s="118"/>
      <c r="F573" s="118"/>
      <c r="G573" s="118"/>
      <c r="H573" s="118"/>
      <c r="I573" s="118"/>
      <c r="J573" s="119"/>
      <c r="K573" s="123"/>
      <c r="L573" s="123"/>
      <c r="M573" s="132"/>
      <c r="N573" s="132"/>
      <c r="O573" s="27"/>
      <c r="P573" s="27"/>
      <c r="Q573" s="132"/>
      <c r="R573" s="132"/>
      <c r="S573" s="124"/>
      <c r="T573" s="27"/>
      <c r="U573" s="27"/>
      <c r="V573" s="27"/>
      <c r="W573" s="27"/>
      <c r="X573" s="27"/>
      <c r="Y573" s="27"/>
      <c r="Z573" s="27"/>
      <c r="AA573" s="27"/>
      <c r="AB573" s="27"/>
      <c r="AC573" s="27"/>
      <c r="AD573" s="123"/>
    </row>
    <row r="574" spans="1:30" s="329" customFormat="1" ht="12.75" customHeight="1" x14ac:dyDescent="0.2">
      <c r="A574" s="119"/>
      <c r="B574" s="32"/>
      <c r="C574" s="27"/>
      <c r="D574" s="27"/>
      <c r="E574" s="118"/>
      <c r="F574" s="118"/>
      <c r="G574" s="118"/>
      <c r="H574" s="118"/>
      <c r="I574" s="118"/>
      <c r="J574" s="119"/>
      <c r="K574" s="123"/>
      <c r="L574" s="123"/>
      <c r="M574" s="132"/>
      <c r="N574" s="132"/>
      <c r="O574" s="27"/>
      <c r="P574" s="27"/>
      <c r="Q574" s="132"/>
      <c r="R574" s="132"/>
      <c r="S574" s="124"/>
      <c r="T574" s="27"/>
      <c r="U574" s="27"/>
      <c r="V574" s="27"/>
      <c r="W574" s="27"/>
      <c r="X574" s="27"/>
      <c r="Y574" s="27"/>
      <c r="Z574" s="27"/>
      <c r="AA574" s="27"/>
      <c r="AB574" s="27"/>
      <c r="AC574" s="27"/>
      <c r="AD574" s="123"/>
    </row>
    <row r="575" spans="1:30" s="329" customFormat="1" ht="12.75" customHeight="1" x14ac:dyDescent="0.2">
      <c r="A575" s="119"/>
      <c r="B575" s="32"/>
      <c r="C575" s="27"/>
      <c r="D575" s="27"/>
      <c r="E575" s="118"/>
      <c r="F575" s="118"/>
      <c r="G575" s="118"/>
      <c r="H575" s="118"/>
      <c r="I575" s="118"/>
      <c r="J575" s="119"/>
      <c r="K575" s="123"/>
      <c r="L575" s="123"/>
      <c r="M575" s="132"/>
      <c r="N575" s="132"/>
      <c r="O575" s="27"/>
      <c r="P575" s="27"/>
      <c r="Q575" s="132"/>
      <c r="R575" s="132"/>
      <c r="S575" s="124"/>
      <c r="T575" s="27"/>
      <c r="U575" s="27"/>
      <c r="V575" s="27"/>
      <c r="W575" s="27"/>
      <c r="X575" s="27"/>
      <c r="Y575" s="27"/>
      <c r="Z575" s="27"/>
      <c r="AA575" s="27"/>
      <c r="AB575" s="27"/>
      <c r="AC575" s="27"/>
      <c r="AD575" s="123"/>
    </row>
    <row r="576" spans="1:30" s="329" customFormat="1" ht="12.75" customHeight="1" x14ac:dyDescent="0.2">
      <c r="A576" s="119"/>
      <c r="B576" s="32"/>
      <c r="C576" s="27"/>
      <c r="D576" s="27"/>
      <c r="E576" s="118"/>
      <c r="F576" s="118"/>
      <c r="G576" s="118"/>
      <c r="H576" s="118"/>
      <c r="I576" s="118"/>
      <c r="J576" s="119"/>
      <c r="K576" s="123"/>
      <c r="L576" s="123"/>
      <c r="M576" s="132"/>
      <c r="N576" s="132"/>
      <c r="O576" s="27"/>
      <c r="P576" s="27"/>
      <c r="Q576" s="132"/>
      <c r="R576" s="132"/>
      <c r="S576" s="124"/>
      <c r="T576" s="27"/>
      <c r="U576" s="27"/>
      <c r="V576" s="27"/>
      <c r="W576" s="27"/>
      <c r="X576" s="27"/>
      <c r="Y576" s="27"/>
      <c r="Z576" s="27"/>
      <c r="AA576" s="27"/>
      <c r="AB576" s="27"/>
      <c r="AC576" s="27"/>
      <c r="AD576" s="123"/>
    </row>
    <row r="577" spans="1:30" s="329" customFormat="1" ht="12.75" customHeight="1" x14ac:dyDescent="0.2">
      <c r="A577" s="119"/>
      <c r="B577" s="32"/>
      <c r="C577" s="27"/>
      <c r="D577" s="27"/>
      <c r="E577" s="118"/>
      <c r="F577" s="118"/>
      <c r="G577" s="118"/>
      <c r="H577" s="118"/>
      <c r="I577" s="118"/>
      <c r="J577" s="119"/>
      <c r="K577" s="123"/>
      <c r="L577" s="123"/>
      <c r="M577" s="132"/>
      <c r="N577" s="132"/>
      <c r="O577" s="27"/>
      <c r="P577" s="27"/>
      <c r="Q577" s="132"/>
      <c r="R577" s="132"/>
      <c r="S577" s="124"/>
      <c r="T577" s="27"/>
      <c r="U577" s="27"/>
      <c r="V577" s="27"/>
      <c r="W577" s="27"/>
      <c r="X577" s="27"/>
      <c r="Y577" s="27"/>
      <c r="Z577" s="27"/>
      <c r="AA577" s="27"/>
      <c r="AB577" s="27"/>
      <c r="AC577" s="27"/>
      <c r="AD577" s="123"/>
    </row>
    <row r="578" spans="1:30" s="329" customFormat="1" ht="12.75" customHeight="1" x14ac:dyDescent="0.2">
      <c r="A578" s="119"/>
      <c r="B578" s="32"/>
      <c r="C578" s="27"/>
      <c r="D578" s="27"/>
      <c r="E578" s="118"/>
      <c r="F578" s="118"/>
      <c r="G578" s="118"/>
      <c r="H578" s="118"/>
      <c r="I578" s="118"/>
      <c r="J578" s="119"/>
      <c r="K578" s="123"/>
      <c r="L578" s="123"/>
      <c r="M578" s="132"/>
      <c r="N578" s="132"/>
      <c r="O578" s="27"/>
      <c r="P578" s="27"/>
      <c r="Q578" s="132"/>
      <c r="R578" s="132"/>
      <c r="S578" s="124"/>
      <c r="T578" s="27"/>
      <c r="U578" s="27"/>
      <c r="V578" s="27"/>
      <c r="W578" s="27"/>
      <c r="X578" s="27"/>
      <c r="Y578" s="27"/>
      <c r="Z578" s="27"/>
      <c r="AA578" s="27"/>
      <c r="AB578" s="27"/>
      <c r="AC578" s="27"/>
      <c r="AD578" s="123"/>
    </row>
    <row r="579" spans="1:30" s="329" customFormat="1" ht="12.75" customHeight="1" x14ac:dyDescent="0.2">
      <c r="A579" s="119"/>
      <c r="B579" s="32"/>
      <c r="C579" s="27"/>
      <c r="D579" s="27"/>
      <c r="E579" s="118"/>
      <c r="F579" s="118"/>
      <c r="G579" s="118"/>
      <c r="H579" s="118"/>
      <c r="I579" s="118"/>
      <c r="J579" s="119"/>
      <c r="K579" s="123"/>
      <c r="L579" s="123"/>
      <c r="M579" s="132"/>
      <c r="N579" s="132"/>
      <c r="O579" s="27"/>
      <c r="P579" s="27"/>
      <c r="Q579" s="132"/>
      <c r="R579" s="132"/>
      <c r="S579" s="124"/>
      <c r="T579" s="27"/>
      <c r="U579" s="27"/>
      <c r="V579" s="27"/>
      <c r="W579" s="27"/>
      <c r="X579" s="27"/>
      <c r="Y579" s="27"/>
      <c r="Z579" s="27"/>
      <c r="AA579" s="27"/>
      <c r="AB579" s="27"/>
      <c r="AC579" s="27"/>
      <c r="AD579" s="123"/>
    </row>
    <row r="580" spans="1:30" s="329" customFormat="1" ht="12.75" customHeight="1" x14ac:dyDescent="0.2">
      <c r="A580" s="119"/>
      <c r="B580" s="32"/>
      <c r="C580" s="27"/>
      <c r="D580" s="27"/>
      <c r="E580" s="118"/>
      <c r="F580" s="118"/>
      <c r="G580" s="118"/>
      <c r="H580" s="118"/>
      <c r="I580" s="118"/>
      <c r="J580" s="119"/>
      <c r="K580" s="123"/>
      <c r="L580" s="123"/>
      <c r="M580" s="132"/>
      <c r="N580" s="132"/>
      <c r="O580" s="27"/>
      <c r="P580" s="27"/>
      <c r="Q580" s="132"/>
      <c r="R580" s="132"/>
      <c r="S580" s="124"/>
      <c r="T580" s="27"/>
      <c r="U580" s="27"/>
      <c r="V580" s="27"/>
      <c r="W580" s="27"/>
      <c r="X580" s="27"/>
      <c r="Y580" s="27"/>
      <c r="Z580" s="27"/>
      <c r="AA580" s="27"/>
      <c r="AB580" s="27"/>
      <c r="AC580" s="27"/>
      <c r="AD580" s="123"/>
    </row>
    <row r="581" spans="1:30" s="329" customFormat="1" ht="12.75" customHeight="1" x14ac:dyDescent="0.2">
      <c r="A581" s="119"/>
      <c r="B581" s="32"/>
      <c r="C581" s="27"/>
      <c r="D581" s="27"/>
      <c r="E581" s="118"/>
      <c r="F581" s="118"/>
      <c r="G581" s="118"/>
      <c r="H581" s="118"/>
      <c r="I581" s="118"/>
      <c r="J581" s="119"/>
      <c r="K581" s="123"/>
      <c r="L581" s="123"/>
      <c r="M581" s="132"/>
      <c r="N581" s="132"/>
      <c r="O581" s="27"/>
      <c r="P581" s="27"/>
      <c r="Q581" s="132"/>
      <c r="R581" s="132"/>
      <c r="S581" s="124"/>
      <c r="T581" s="27"/>
      <c r="U581" s="27"/>
      <c r="V581" s="27"/>
      <c r="W581" s="27"/>
      <c r="X581" s="27"/>
      <c r="Y581" s="27"/>
      <c r="Z581" s="27"/>
      <c r="AA581" s="27"/>
      <c r="AB581" s="27"/>
      <c r="AC581" s="27"/>
      <c r="AD581" s="123"/>
    </row>
    <row r="582" spans="1:30" s="329" customFormat="1" ht="12.75" customHeight="1" x14ac:dyDescent="0.2">
      <c r="A582" s="119"/>
      <c r="B582" s="32"/>
      <c r="C582" s="27"/>
      <c r="D582" s="27"/>
      <c r="E582" s="118"/>
      <c r="F582" s="118"/>
      <c r="G582" s="118"/>
      <c r="H582" s="118"/>
      <c r="I582" s="118"/>
      <c r="J582" s="119"/>
      <c r="K582" s="123"/>
      <c r="L582" s="123"/>
      <c r="M582" s="132"/>
      <c r="N582" s="132"/>
      <c r="O582" s="27"/>
      <c r="P582" s="27"/>
      <c r="Q582" s="132"/>
      <c r="R582" s="132"/>
      <c r="S582" s="124"/>
      <c r="T582" s="27"/>
      <c r="U582" s="27"/>
      <c r="V582" s="27"/>
      <c r="W582" s="27"/>
      <c r="X582" s="27"/>
      <c r="Y582" s="27"/>
      <c r="Z582" s="27"/>
      <c r="AA582" s="27"/>
      <c r="AB582" s="27"/>
      <c r="AC582" s="27"/>
      <c r="AD582" s="123"/>
    </row>
    <row r="583" spans="1:30" s="329" customFormat="1" ht="12.75" customHeight="1" x14ac:dyDescent="0.2">
      <c r="A583" s="119"/>
      <c r="B583" s="32"/>
      <c r="C583" s="27"/>
      <c r="D583" s="27"/>
      <c r="E583" s="118"/>
      <c r="F583" s="118"/>
      <c r="G583" s="118"/>
      <c r="H583" s="118"/>
      <c r="I583" s="118"/>
      <c r="J583" s="119"/>
      <c r="K583" s="123"/>
      <c r="L583" s="123"/>
      <c r="M583" s="132"/>
      <c r="N583" s="132"/>
      <c r="O583" s="27"/>
      <c r="P583" s="27"/>
      <c r="Q583" s="132"/>
      <c r="R583" s="132"/>
      <c r="S583" s="124"/>
      <c r="T583" s="27"/>
      <c r="U583" s="27"/>
      <c r="V583" s="27"/>
      <c r="W583" s="27"/>
      <c r="X583" s="27"/>
      <c r="Y583" s="27"/>
      <c r="Z583" s="27"/>
      <c r="AA583" s="27"/>
      <c r="AB583" s="27"/>
      <c r="AC583" s="27"/>
      <c r="AD583" s="123"/>
    </row>
    <row r="584" spans="1:30" s="329" customFormat="1" ht="12.75" customHeight="1" x14ac:dyDescent="0.2">
      <c r="A584" s="119"/>
      <c r="B584" s="32"/>
      <c r="C584" s="27"/>
      <c r="D584" s="27"/>
      <c r="E584" s="118"/>
      <c r="F584" s="118"/>
      <c r="G584" s="118"/>
      <c r="H584" s="118"/>
      <c r="I584" s="118"/>
      <c r="J584" s="119"/>
      <c r="K584" s="123"/>
      <c r="L584" s="123"/>
      <c r="M584" s="132"/>
      <c r="N584" s="132"/>
      <c r="O584" s="27"/>
      <c r="P584" s="27"/>
      <c r="Q584" s="132"/>
      <c r="R584" s="132"/>
      <c r="S584" s="124"/>
      <c r="T584" s="27"/>
      <c r="U584" s="27"/>
      <c r="V584" s="27"/>
      <c r="W584" s="27"/>
      <c r="X584" s="27"/>
      <c r="Y584" s="27"/>
      <c r="Z584" s="27"/>
      <c r="AA584" s="27"/>
      <c r="AB584" s="27"/>
      <c r="AC584" s="27"/>
      <c r="AD584" s="123"/>
    </row>
    <row r="585" spans="1:30" s="329" customFormat="1" ht="12.75" customHeight="1" x14ac:dyDescent="0.2">
      <c r="A585" s="119"/>
      <c r="B585" s="32"/>
      <c r="C585" s="27"/>
      <c r="D585" s="27"/>
      <c r="E585" s="118"/>
      <c r="F585" s="118"/>
      <c r="G585" s="118"/>
      <c r="H585" s="118"/>
      <c r="I585" s="118"/>
      <c r="J585" s="119"/>
      <c r="K585" s="123"/>
      <c r="L585" s="123"/>
      <c r="M585" s="132"/>
      <c r="N585" s="132"/>
      <c r="O585" s="27"/>
      <c r="P585" s="27"/>
      <c r="Q585" s="132"/>
      <c r="R585" s="132"/>
      <c r="S585" s="124"/>
      <c r="T585" s="27"/>
      <c r="U585" s="27"/>
      <c r="V585" s="27"/>
      <c r="W585" s="27"/>
      <c r="X585" s="27"/>
      <c r="Y585" s="27"/>
      <c r="Z585" s="27"/>
      <c r="AA585" s="27"/>
      <c r="AB585" s="27"/>
      <c r="AC585" s="27"/>
      <c r="AD585" s="123"/>
    </row>
    <row r="586" spans="1:30" s="329" customFormat="1" ht="12.75" customHeight="1" x14ac:dyDescent="0.2">
      <c r="A586" s="119"/>
      <c r="B586" s="32"/>
      <c r="C586" s="27"/>
      <c r="D586" s="27"/>
      <c r="E586" s="118"/>
      <c r="F586" s="118"/>
      <c r="G586" s="118"/>
      <c r="H586" s="118"/>
      <c r="I586" s="118"/>
      <c r="J586" s="119"/>
      <c r="K586" s="123"/>
      <c r="L586" s="123"/>
      <c r="M586" s="132"/>
      <c r="N586" s="132"/>
      <c r="O586" s="27"/>
      <c r="P586" s="27"/>
      <c r="Q586" s="132"/>
      <c r="R586" s="132"/>
      <c r="S586" s="124"/>
      <c r="T586" s="27"/>
      <c r="U586" s="27"/>
      <c r="V586" s="27"/>
      <c r="W586" s="27"/>
      <c r="X586" s="27"/>
      <c r="Y586" s="27"/>
      <c r="Z586" s="27"/>
      <c r="AA586" s="27"/>
      <c r="AB586" s="27"/>
      <c r="AC586" s="27"/>
      <c r="AD586" s="123"/>
    </row>
    <row r="587" spans="1:30" s="329" customFormat="1" ht="12.75" customHeight="1" x14ac:dyDescent="0.2">
      <c r="A587" s="119"/>
      <c r="B587" s="32"/>
      <c r="C587" s="27"/>
      <c r="D587" s="27"/>
      <c r="E587" s="118"/>
      <c r="F587" s="118"/>
      <c r="G587" s="118"/>
      <c r="H587" s="118"/>
      <c r="I587" s="118"/>
      <c r="J587" s="119"/>
      <c r="K587" s="123"/>
      <c r="L587" s="123"/>
      <c r="M587" s="132"/>
      <c r="N587" s="132"/>
      <c r="O587" s="27"/>
      <c r="P587" s="27"/>
      <c r="Q587" s="132"/>
      <c r="R587" s="132"/>
      <c r="S587" s="124"/>
      <c r="T587" s="27"/>
      <c r="U587" s="27"/>
      <c r="V587" s="27"/>
      <c r="W587" s="27"/>
      <c r="X587" s="27"/>
      <c r="Y587" s="27"/>
      <c r="Z587" s="27"/>
      <c r="AA587" s="27"/>
      <c r="AB587" s="27"/>
      <c r="AC587" s="27"/>
      <c r="AD587" s="123"/>
    </row>
    <row r="588" spans="1:30" s="329" customFormat="1" ht="12.75" customHeight="1" x14ac:dyDescent="0.2">
      <c r="A588" s="119"/>
      <c r="B588" s="32"/>
      <c r="C588" s="27"/>
      <c r="D588" s="27"/>
      <c r="E588" s="118"/>
      <c r="F588" s="118"/>
      <c r="G588" s="118"/>
      <c r="H588" s="118"/>
      <c r="I588" s="118"/>
      <c r="J588" s="119"/>
      <c r="K588" s="123"/>
      <c r="L588" s="123"/>
      <c r="M588" s="132"/>
      <c r="N588" s="132"/>
      <c r="O588" s="27"/>
      <c r="P588" s="27"/>
      <c r="Q588" s="132"/>
      <c r="R588" s="132"/>
      <c r="S588" s="124"/>
      <c r="T588" s="27"/>
      <c r="U588" s="27"/>
      <c r="V588" s="27"/>
      <c r="W588" s="27"/>
      <c r="X588" s="27"/>
      <c r="Y588" s="27"/>
      <c r="Z588" s="27"/>
      <c r="AA588" s="27"/>
      <c r="AB588" s="27"/>
      <c r="AC588" s="27"/>
      <c r="AD588" s="123"/>
    </row>
    <row r="589" spans="1:30" s="329" customFormat="1" ht="12.75" customHeight="1" x14ac:dyDescent="0.2">
      <c r="A589" s="119"/>
      <c r="B589" s="32"/>
      <c r="C589" s="27"/>
      <c r="D589" s="27"/>
      <c r="E589" s="118"/>
      <c r="F589" s="118"/>
      <c r="G589" s="118"/>
      <c r="H589" s="118"/>
      <c r="I589" s="118"/>
      <c r="J589" s="119"/>
      <c r="K589" s="123"/>
      <c r="L589" s="123"/>
      <c r="M589" s="132"/>
      <c r="N589" s="132"/>
      <c r="O589" s="27"/>
      <c r="P589" s="27"/>
      <c r="Q589" s="132"/>
      <c r="R589" s="132"/>
      <c r="S589" s="124"/>
      <c r="T589" s="27"/>
      <c r="U589" s="27"/>
      <c r="V589" s="27"/>
      <c r="W589" s="27"/>
      <c r="X589" s="27"/>
      <c r="Y589" s="27"/>
      <c r="Z589" s="27"/>
      <c r="AA589" s="27"/>
      <c r="AB589" s="27"/>
      <c r="AC589" s="27"/>
      <c r="AD589" s="123"/>
    </row>
    <row r="590" spans="1:30" s="329" customFormat="1" ht="12.75" customHeight="1" x14ac:dyDescent="0.2">
      <c r="A590" s="119"/>
      <c r="B590" s="32"/>
      <c r="C590" s="27"/>
      <c r="D590" s="27"/>
      <c r="E590" s="118"/>
      <c r="F590" s="118"/>
      <c r="G590" s="118"/>
      <c r="H590" s="118"/>
      <c r="I590" s="118"/>
      <c r="J590" s="119"/>
      <c r="K590" s="123"/>
      <c r="L590" s="123"/>
      <c r="M590" s="132"/>
      <c r="N590" s="132"/>
      <c r="O590" s="27"/>
      <c r="P590" s="27"/>
      <c r="Q590" s="132"/>
      <c r="R590" s="132"/>
      <c r="S590" s="124"/>
      <c r="T590" s="27"/>
      <c r="U590" s="27"/>
      <c r="V590" s="27"/>
      <c r="W590" s="27"/>
      <c r="X590" s="27"/>
      <c r="Y590" s="27"/>
      <c r="Z590" s="27"/>
      <c r="AA590" s="27"/>
      <c r="AB590" s="27"/>
      <c r="AC590" s="27"/>
      <c r="AD590" s="123"/>
    </row>
    <row r="591" spans="1:30" s="329" customFormat="1" ht="12.75" customHeight="1" x14ac:dyDescent="0.2">
      <c r="A591" s="119"/>
      <c r="B591" s="32"/>
      <c r="C591" s="27"/>
      <c r="D591" s="27"/>
      <c r="E591" s="118"/>
      <c r="F591" s="118"/>
      <c r="G591" s="118"/>
      <c r="H591" s="118"/>
      <c r="I591" s="118"/>
      <c r="J591" s="119"/>
      <c r="K591" s="123"/>
      <c r="L591" s="123"/>
      <c r="M591" s="132"/>
      <c r="N591" s="132"/>
      <c r="O591" s="27"/>
      <c r="P591" s="27"/>
      <c r="Q591" s="132"/>
      <c r="R591" s="132"/>
      <c r="S591" s="124"/>
      <c r="T591" s="27"/>
      <c r="U591" s="27"/>
      <c r="V591" s="27"/>
      <c r="W591" s="27"/>
      <c r="X591" s="27"/>
      <c r="Y591" s="27"/>
      <c r="Z591" s="27"/>
      <c r="AA591" s="27"/>
      <c r="AB591" s="27"/>
      <c r="AC591" s="27"/>
      <c r="AD591" s="123"/>
    </row>
    <row r="592" spans="1:30" s="329" customFormat="1" ht="12.75" customHeight="1" x14ac:dyDescent="0.2">
      <c r="A592" s="119"/>
      <c r="B592" s="32"/>
      <c r="C592" s="27"/>
      <c r="D592" s="27"/>
      <c r="E592" s="118"/>
      <c r="F592" s="118"/>
      <c r="G592" s="118"/>
      <c r="H592" s="118"/>
      <c r="I592" s="118"/>
      <c r="J592" s="119"/>
      <c r="K592" s="123"/>
      <c r="L592" s="123"/>
      <c r="M592" s="132"/>
      <c r="N592" s="132"/>
      <c r="O592" s="27"/>
      <c r="P592" s="27"/>
      <c r="Q592" s="132"/>
      <c r="R592" s="132"/>
      <c r="S592" s="124"/>
      <c r="T592" s="27"/>
      <c r="U592" s="27"/>
      <c r="V592" s="27"/>
      <c r="W592" s="27"/>
      <c r="X592" s="27"/>
      <c r="Y592" s="27"/>
      <c r="Z592" s="27"/>
      <c r="AA592" s="27"/>
      <c r="AB592" s="27"/>
      <c r="AC592" s="27"/>
      <c r="AD592" s="123"/>
    </row>
    <row r="593" spans="1:30" s="329" customFormat="1" ht="12.75" customHeight="1" x14ac:dyDescent="0.2">
      <c r="A593" s="119"/>
      <c r="B593" s="32"/>
      <c r="C593" s="27"/>
      <c r="D593" s="27"/>
      <c r="E593" s="118"/>
      <c r="F593" s="118"/>
      <c r="G593" s="118"/>
      <c r="H593" s="118"/>
      <c r="I593" s="118"/>
      <c r="J593" s="119"/>
      <c r="K593" s="123"/>
      <c r="L593" s="123"/>
      <c r="M593" s="132"/>
      <c r="N593" s="132"/>
      <c r="O593" s="27"/>
      <c r="P593" s="27"/>
      <c r="Q593" s="132"/>
      <c r="R593" s="132"/>
      <c r="S593" s="124"/>
      <c r="T593" s="27"/>
      <c r="U593" s="27"/>
      <c r="V593" s="27"/>
      <c r="W593" s="27"/>
      <c r="X593" s="27"/>
      <c r="Y593" s="27"/>
      <c r="Z593" s="27"/>
      <c r="AA593" s="27"/>
      <c r="AB593" s="27"/>
      <c r="AC593" s="27"/>
      <c r="AD593" s="123"/>
    </row>
    <row r="594" spans="1:30" s="329" customFormat="1" ht="12.75" customHeight="1" x14ac:dyDescent="0.2">
      <c r="A594" s="119"/>
      <c r="B594" s="32"/>
      <c r="C594" s="27"/>
      <c r="D594" s="27"/>
      <c r="E594" s="118"/>
      <c r="F594" s="118"/>
      <c r="G594" s="118"/>
      <c r="H594" s="118"/>
      <c r="I594" s="118"/>
      <c r="J594" s="119"/>
      <c r="K594" s="123"/>
      <c r="L594" s="123"/>
      <c r="M594" s="132"/>
      <c r="N594" s="132"/>
      <c r="O594" s="27"/>
      <c r="P594" s="27"/>
      <c r="Q594" s="132"/>
      <c r="R594" s="132"/>
      <c r="S594" s="124"/>
      <c r="T594" s="27"/>
      <c r="U594" s="27"/>
      <c r="V594" s="27"/>
      <c r="W594" s="27"/>
      <c r="X594" s="27"/>
      <c r="Y594" s="27"/>
      <c r="Z594" s="27"/>
      <c r="AA594" s="27"/>
      <c r="AB594" s="27"/>
      <c r="AC594" s="27"/>
      <c r="AD594" s="123"/>
    </row>
    <row r="595" spans="1:30" s="329" customFormat="1" ht="12.75" customHeight="1" x14ac:dyDescent="0.2">
      <c r="A595" s="119"/>
      <c r="B595" s="32"/>
      <c r="C595" s="27"/>
      <c r="D595" s="27"/>
      <c r="E595" s="118"/>
      <c r="F595" s="118"/>
      <c r="G595" s="118"/>
      <c r="H595" s="118"/>
      <c r="I595" s="118"/>
      <c r="J595" s="119"/>
      <c r="K595" s="123"/>
      <c r="L595" s="123"/>
      <c r="M595" s="132"/>
      <c r="N595" s="132"/>
      <c r="O595" s="27"/>
      <c r="P595" s="27"/>
      <c r="Q595" s="132"/>
      <c r="R595" s="132"/>
      <c r="S595" s="124"/>
      <c r="T595" s="27"/>
      <c r="U595" s="27"/>
      <c r="V595" s="27"/>
      <c r="W595" s="27"/>
      <c r="X595" s="27"/>
      <c r="Y595" s="27"/>
      <c r="Z595" s="27"/>
      <c r="AA595" s="27"/>
      <c r="AB595" s="27"/>
      <c r="AC595" s="27"/>
      <c r="AD595" s="123"/>
    </row>
    <row r="596" spans="1:30" s="329" customFormat="1" ht="12.75" customHeight="1" x14ac:dyDescent="0.2">
      <c r="A596" s="119"/>
      <c r="B596" s="32"/>
      <c r="C596" s="27"/>
      <c r="D596" s="27"/>
      <c r="E596" s="118"/>
      <c r="F596" s="118"/>
      <c r="G596" s="118"/>
      <c r="H596" s="118"/>
      <c r="I596" s="118"/>
      <c r="J596" s="119"/>
      <c r="K596" s="123"/>
      <c r="L596" s="123"/>
      <c r="M596" s="132"/>
      <c r="N596" s="132"/>
      <c r="O596" s="27"/>
      <c r="P596" s="27"/>
      <c r="Q596" s="132"/>
      <c r="R596" s="132"/>
      <c r="S596" s="124"/>
      <c r="T596" s="27"/>
      <c r="U596" s="27"/>
      <c r="V596" s="27"/>
      <c r="W596" s="27"/>
      <c r="X596" s="27"/>
      <c r="Y596" s="27"/>
      <c r="Z596" s="27"/>
      <c r="AA596" s="27"/>
      <c r="AB596" s="27"/>
      <c r="AC596" s="27"/>
      <c r="AD596" s="123"/>
    </row>
    <row r="597" spans="1:30" s="329" customFormat="1" ht="12.75" customHeight="1" x14ac:dyDescent="0.2">
      <c r="A597" s="119"/>
      <c r="B597" s="32"/>
      <c r="C597" s="27"/>
      <c r="D597" s="27"/>
      <c r="E597" s="118"/>
      <c r="F597" s="118"/>
      <c r="G597" s="118"/>
      <c r="H597" s="118"/>
      <c r="I597" s="118"/>
      <c r="J597" s="119"/>
      <c r="K597" s="123"/>
      <c r="L597" s="123"/>
      <c r="M597" s="132"/>
      <c r="N597" s="132"/>
      <c r="O597" s="27"/>
      <c r="P597" s="27"/>
      <c r="Q597" s="132"/>
      <c r="R597" s="132"/>
      <c r="S597" s="124"/>
      <c r="T597" s="27"/>
      <c r="U597" s="27"/>
      <c r="V597" s="27"/>
      <c r="W597" s="27"/>
      <c r="X597" s="27"/>
      <c r="Y597" s="27"/>
      <c r="Z597" s="27"/>
      <c r="AA597" s="27"/>
      <c r="AB597" s="27"/>
      <c r="AC597" s="27"/>
      <c r="AD597" s="123"/>
    </row>
    <row r="598" spans="1:30" s="329" customFormat="1" ht="12.75" customHeight="1" x14ac:dyDescent="0.2">
      <c r="A598" s="119"/>
      <c r="B598" s="32"/>
      <c r="C598" s="27"/>
      <c r="D598" s="27"/>
      <c r="E598" s="118"/>
      <c r="F598" s="118"/>
      <c r="G598" s="118"/>
      <c r="H598" s="118"/>
      <c r="I598" s="118"/>
      <c r="J598" s="119"/>
      <c r="K598" s="123"/>
      <c r="L598" s="123"/>
      <c r="M598" s="132"/>
      <c r="N598" s="132"/>
      <c r="O598" s="27"/>
      <c r="P598" s="27"/>
      <c r="Q598" s="132"/>
      <c r="R598" s="132"/>
      <c r="S598" s="124"/>
      <c r="T598" s="27"/>
      <c r="U598" s="27"/>
      <c r="V598" s="27"/>
      <c r="W598" s="27"/>
      <c r="X598" s="27"/>
      <c r="Y598" s="27"/>
      <c r="Z598" s="27"/>
      <c r="AA598" s="27"/>
      <c r="AB598" s="27"/>
      <c r="AC598" s="27"/>
      <c r="AD598" s="123"/>
    </row>
    <row r="599" spans="1:30" s="329" customFormat="1" ht="12.75" customHeight="1" x14ac:dyDescent="0.2">
      <c r="A599" s="119"/>
      <c r="B599" s="32"/>
      <c r="C599" s="27"/>
      <c r="D599" s="27"/>
      <c r="E599" s="118"/>
      <c r="F599" s="118"/>
      <c r="G599" s="118"/>
      <c r="H599" s="118"/>
      <c r="I599" s="118"/>
      <c r="J599" s="119"/>
      <c r="K599" s="123"/>
      <c r="L599" s="123"/>
      <c r="M599" s="132"/>
      <c r="N599" s="132"/>
      <c r="O599" s="27"/>
      <c r="P599" s="27"/>
      <c r="Q599" s="132"/>
      <c r="R599" s="132"/>
      <c r="S599" s="124"/>
      <c r="T599" s="27"/>
      <c r="U599" s="27"/>
      <c r="V599" s="27"/>
      <c r="W599" s="27"/>
      <c r="X599" s="27"/>
      <c r="Y599" s="27"/>
      <c r="Z599" s="27"/>
      <c r="AA599" s="27"/>
      <c r="AB599" s="27"/>
      <c r="AC599" s="27"/>
      <c r="AD599" s="123"/>
    </row>
    <row r="600" spans="1:30" s="329" customFormat="1" ht="12.75" customHeight="1" x14ac:dyDescent="0.2">
      <c r="A600" s="119"/>
      <c r="B600" s="32"/>
      <c r="C600" s="27"/>
      <c r="D600" s="27"/>
      <c r="E600" s="118"/>
      <c r="F600" s="118"/>
      <c r="G600" s="118"/>
      <c r="H600" s="118"/>
      <c r="I600" s="118"/>
      <c r="J600" s="119"/>
      <c r="K600" s="123"/>
      <c r="L600" s="123"/>
      <c r="M600" s="132"/>
      <c r="N600" s="132"/>
      <c r="O600" s="27"/>
      <c r="P600" s="27"/>
      <c r="Q600" s="132"/>
      <c r="R600" s="132"/>
      <c r="S600" s="124"/>
      <c r="T600" s="27"/>
      <c r="U600" s="27"/>
      <c r="V600" s="27"/>
      <c r="W600" s="27"/>
      <c r="X600" s="27"/>
      <c r="Y600" s="27"/>
      <c r="Z600" s="27"/>
      <c r="AA600" s="27"/>
      <c r="AB600" s="27"/>
      <c r="AC600" s="27"/>
      <c r="AD600" s="123"/>
    </row>
    <row r="601" spans="1:30" s="329" customFormat="1" ht="12.75" customHeight="1" x14ac:dyDescent="0.2">
      <c r="A601" s="119"/>
      <c r="B601" s="32"/>
      <c r="C601" s="27"/>
      <c r="D601" s="27"/>
      <c r="E601" s="118"/>
      <c r="F601" s="118"/>
      <c r="G601" s="118"/>
      <c r="H601" s="118"/>
      <c r="I601" s="118"/>
      <c r="J601" s="119"/>
      <c r="K601" s="123"/>
      <c r="L601" s="123"/>
      <c r="M601" s="132"/>
      <c r="N601" s="132"/>
      <c r="O601" s="27"/>
      <c r="P601" s="27"/>
      <c r="Q601" s="132"/>
      <c r="R601" s="132"/>
      <c r="S601" s="124"/>
      <c r="T601" s="27"/>
      <c r="U601" s="27"/>
      <c r="V601" s="27"/>
      <c r="W601" s="27"/>
      <c r="X601" s="27"/>
      <c r="Y601" s="27"/>
      <c r="Z601" s="27"/>
      <c r="AA601" s="27"/>
      <c r="AB601" s="27"/>
      <c r="AC601" s="27"/>
      <c r="AD601" s="123"/>
    </row>
    <row r="602" spans="1:30" s="329" customFormat="1" ht="12.75" customHeight="1" x14ac:dyDescent="0.2">
      <c r="A602" s="119"/>
      <c r="B602" s="32"/>
      <c r="C602" s="27"/>
      <c r="D602" s="27"/>
      <c r="E602" s="118"/>
      <c r="F602" s="118"/>
      <c r="G602" s="118"/>
      <c r="H602" s="118"/>
      <c r="I602" s="118"/>
      <c r="J602" s="119"/>
      <c r="K602" s="123"/>
      <c r="L602" s="123"/>
      <c r="M602" s="132"/>
      <c r="N602" s="132"/>
      <c r="O602" s="27"/>
      <c r="P602" s="27"/>
      <c r="Q602" s="132"/>
      <c r="R602" s="132"/>
      <c r="S602" s="124"/>
      <c r="T602" s="27"/>
      <c r="U602" s="27"/>
      <c r="V602" s="27"/>
      <c r="W602" s="27"/>
      <c r="X602" s="27"/>
      <c r="Y602" s="27"/>
      <c r="Z602" s="27"/>
      <c r="AA602" s="27"/>
      <c r="AB602" s="27"/>
      <c r="AC602" s="27"/>
      <c r="AD602" s="123"/>
    </row>
    <row r="603" spans="1:30" s="329" customFormat="1" ht="12.75" customHeight="1" x14ac:dyDescent="0.2">
      <c r="A603" s="119"/>
      <c r="B603" s="32"/>
      <c r="C603" s="27"/>
      <c r="D603" s="27"/>
      <c r="E603" s="118"/>
      <c r="F603" s="118"/>
      <c r="G603" s="118"/>
      <c r="H603" s="118"/>
      <c r="I603" s="118"/>
      <c r="J603" s="119"/>
      <c r="K603" s="123"/>
      <c r="L603" s="123"/>
      <c r="M603" s="132"/>
      <c r="N603" s="132"/>
      <c r="O603" s="27"/>
      <c r="P603" s="27"/>
      <c r="Q603" s="132"/>
      <c r="R603" s="132"/>
      <c r="S603" s="124"/>
      <c r="T603" s="27"/>
      <c r="U603" s="27"/>
      <c r="V603" s="27"/>
      <c r="W603" s="27"/>
      <c r="X603" s="27"/>
      <c r="Y603" s="27"/>
      <c r="Z603" s="27"/>
      <c r="AA603" s="27"/>
      <c r="AB603" s="27"/>
      <c r="AC603" s="27"/>
      <c r="AD603" s="123"/>
    </row>
    <row r="604" spans="1:30" s="329" customFormat="1" ht="12.75" customHeight="1" x14ac:dyDescent="0.2">
      <c r="A604" s="119"/>
      <c r="B604" s="32"/>
      <c r="C604" s="27"/>
      <c r="D604" s="27"/>
      <c r="E604" s="118"/>
      <c r="F604" s="118"/>
      <c r="G604" s="118"/>
      <c r="H604" s="118"/>
      <c r="I604" s="118"/>
      <c r="J604" s="119"/>
      <c r="K604" s="123"/>
      <c r="L604" s="123"/>
      <c r="M604" s="132"/>
      <c r="N604" s="132"/>
      <c r="O604" s="27"/>
      <c r="P604" s="27"/>
      <c r="Q604" s="132"/>
      <c r="R604" s="132"/>
      <c r="S604" s="124"/>
      <c r="T604" s="27"/>
      <c r="U604" s="27"/>
      <c r="V604" s="27"/>
      <c r="W604" s="27"/>
      <c r="X604" s="27"/>
      <c r="Y604" s="27"/>
      <c r="Z604" s="27"/>
      <c r="AA604" s="27"/>
      <c r="AB604" s="27"/>
      <c r="AC604" s="27"/>
      <c r="AD604" s="123"/>
    </row>
    <row r="605" spans="1:30" s="329" customFormat="1" ht="12.75" customHeight="1" x14ac:dyDescent="0.2">
      <c r="A605" s="119"/>
      <c r="B605" s="32"/>
      <c r="C605" s="27"/>
      <c r="D605" s="27"/>
      <c r="E605" s="118"/>
      <c r="F605" s="118"/>
      <c r="G605" s="118"/>
      <c r="H605" s="118"/>
      <c r="I605" s="118"/>
      <c r="J605" s="119"/>
      <c r="K605" s="123"/>
      <c r="L605" s="123"/>
      <c r="M605" s="132"/>
      <c r="N605" s="132"/>
      <c r="O605" s="27"/>
      <c r="P605" s="27"/>
      <c r="Q605" s="132"/>
      <c r="R605" s="132"/>
      <c r="S605" s="124"/>
      <c r="T605" s="27"/>
      <c r="U605" s="27"/>
      <c r="V605" s="27"/>
      <c r="W605" s="27"/>
      <c r="X605" s="27"/>
      <c r="Y605" s="27"/>
      <c r="Z605" s="27"/>
      <c r="AA605" s="27"/>
      <c r="AB605" s="27"/>
      <c r="AC605" s="27"/>
      <c r="AD605" s="123"/>
    </row>
    <row r="606" spans="1:30" s="329" customFormat="1" ht="12.75" customHeight="1" x14ac:dyDescent="0.2">
      <c r="A606" s="119"/>
      <c r="B606" s="32"/>
      <c r="C606" s="27"/>
      <c r="D606" s="27"/>
      <c r="E606" s="118"/>
      <c r="F606" s="118"/>
      <c r="G606" s="118"/>
      <c r="H606" s="118"/>
      <c r="I606" s="118"/>
      <c r="J606" s="119"/>
      <c r="K606" s="123"/>
      <c r="L606" s="123"/>
      <c r="M606" s="132"/>
      <c r="N606" s="132"/>
      <c r="O606" s="27"/>
      <c r="P606" s="27"/>
      <c r="Q606" s="132"/>
      <c r="R606" s="132"/>
      <c r="S606" s="124"/>
      <c r="T606" s="27"/>
      <c r="U606" s="27"/>
      <c r="V606" s="27"/>
      <c r="W606" s="27"/>
      <c r="X606" s="27"/>
      <c r="Y606" s="27"/>
      <c r="Z606" s="27"/>
      <c r="AA606" s="27"/>
      <c r="AB606" s="27"/>
      <c r="AC606" s="27"/>
      <c r="AD606" s="123"/>
    </row>
    <row r="607" spans="1:30" s="329" customFormat="1" ht="12.75" customHeight="1" x14ac:dyDescent="0.2">
      <c r="A607" s="119"/>
      <c r="B607" s="32"/>
      <c r="C607" s="27"/>
      <c r="D607" s="27"/>
      <c r="E607" s="118"/>
      <c r="F607" s="118"/>
      <c r="G607" s="118"/>
      <c r="H607" s="118"/>
      <c r="I607" s="118"/>
      <c r="J607" s="119"/>
      <c r="K607" s="123"/>
      <c r="L607" s="123"/>
      <c r="M607" s="132"/>
      <c r="N607" s="132"/>
      <c r="O607" s="27"/>
      <c r="P607" s="27"/>
      <c r="Q607" s="132"/>
      <c r="R607" s="132"/>
      <c r="S607" s="124"/>
      <c r="T607" s="27"/>
      <c r="U607" s="27"/>
      <c r="V607" s="27"/>
      <c r="W607" s="27"/>
      <c r="X607" s="27"/>
      <c r="Y607" s="27"/>
      <c r="Z607" s="27"/>
      <c r="AA607" s="27"/>
      <c r="AB607" s="27"/>
      <c r="AC607" s="27"/>
      <c r="AD607" s="123"/>
    </row>
    <row r="608" spans="1:30" s="329" customFormat="1" ht="12.75" customHeight="1" x14ac:dyDescent="0.2">
      <c r="A608" s="119"/>
      <c r="B608" s="32"/>
      <c r="C608" s="27"/>
      <c r="D608" s="27"/>
      <c r="E608" s="118"/>
      <c r="F608" s="118"/>
      <c r="G608" s="118"/>
      <c r="H608" s="118"/>
      <c r="I608" s="118"/>
      <c r="J608" s="119"/>
      <c r="K608" s="123"/>
      <c r="L608" s="123"/>
      <c r="M608" s="132"/>
      <c r="N608" s="132"/>
      <c r="O608" s="27"/>
      <c r="P608" s="27"/>
      <c r="Q608" s="132"/>
      <c r="R608" s="132"/>
      <c r="S608" s="124"/>
      <c r="T608" s="27"/>
      <c r="U608" s="27"/>
      <c r="V608" s="27"/>
      <c r="W608" s="27"/>
      <c r="X608" s="27"/>
      <c r="Y608" s="27"/>
      <c r="Z608" s="27"/>
      <c r="AA608" s="27"/>
      <c r="AB608" s="27"/>
      <c r="AC608" s="27"/>
      <c r="AD608" s="123"/>
    </row>
    <row r="609" spans="1:30" s="329" customFormat="1" ht="12.75" customHeight="1" x14ac:dyDescent="0.2">
      <c r="A609" s="119"/>
      <c r="B609" s="32"/>
      <c r="C609" s="27"/>
      <c r="D609" s="27"/>
      <c r="E609" s="118"/>
      <c r="F609" s="118"/>
      <c r="G609" s="118"/>
      <c r="H609" s="118"/>
      <c r="I609" s="118"/>
      <c r="J609" s="119"/>
      <c r="K609" s="123"/>
      <c r="L609" s="123"/>
      <c r="M609" s="132"/>
      <c r="N609" s="132"/>
      <c r="O609" s="27"/>
      <c r="P609" s="27"/>
      <c r="Q609" s="132"/>
      <c r="R609" s="132"/>
      <c r="S609" s="124"/>
      <c r="T609" s="27"/>
      <c r="U609" s="27"/>
      <c r="V609" s="27"/>
      <c r="W609" s="27"/>
      <c r="X609" s="27"/>
      <c r="Y609" s="27"/>
      <c r="Z609" s="27"/>
      <c r="AA609" s="27"/>
      <c r="AB609" s="27"/>
      <c r="AC609" s="27"/>
      <c r="AD609" s="123"/>
    </row>
    <row r="610" spans="1:30" s="329" customFormat="1" ht="12.75" customHeight="1" x14ac:dyDescent="0.2">
      <c r="A610" s="119"/>
      <c r="B610" s="32"/>
      <c r="C610" s="27"/>
      <c r="D610" s="27"/>
      <c r="E610" s="118"/>
      <c r="F610" s="118"/>
      <c r="G610" s="118"/>
      <c r="H610" s="118"/>
      <c r="I610" s="118"/>
      <c r="J610" s="119"/>
      <c r="K610" s="123"/>
      <c r="L610" s="123"/>
      <c r="M610" s="132"/>
      <c r="N610" s="132"/>
      <c r="O610" s="27"/>
      <c r="P610" s="27"/>
      <c r="Q610" s="132"/>
      <c r="R610" s="132"/>
      <c r="S610" s="124"/>
      <c r="T610" s="27"/>
      <c r="U610" s="27"/>
      <c r="V610" s="27"/>
      <c r="W610" s="27"/>
      <c r="X610" s="27"/>
      <c r="Y610" s="27"/>
      <c r="Z610" s="27"/>
      <c r="AA610" s="27"/>
      <c r="AB610" s="27"/>
      <c r="AC610" s="27"/>
      <c r="AD610" s="123"/>
    </row>
    <row r="611" spans="1:30" s="329" customFormat="1" ht="12.75" customHeight="1" x14ac:dyDescent="0.2">
      <c r="A611" s="119"/>
      <c r="B611" s="32"/>
      <c r="C611" s="27"/>
      <c r="D611" s="27"/>
      <c r="E611" s="118"/>
      <c r="F611" s="118"/>
      <c r="G611" s="118"/>
      <c r="H611" s="118"/>
      <c r="I611" s="118"/>
      <c r="J611" s="119"/>
      <c r="K611" s="123"/>
      <c r="L611" s="123"/>
      <c r="M611" s="132"/>
      <c r="N611" s="132"/>
      <c r="O611" s="27"/>
      <c r="P611" s="27"/>
      <c r="Q611" s="132"/>
      <c r="R611" s="132"/>
      <c r="S611" s="124"/>
      <c r="T611" s="27"/>
      <c r="U611" s="27"/>
      <c r="V611" s="27"/>
      <c r="W611" s="27"/>
      <c r="X611" s="27"/>
      <c r="Y611" s="27"/>
      <c r="Z611" s="27"/>
      <c r="AA611" s="27"/>
      <c r="AB611" s="27"/>
      <c r="AC611" s="27"/>
      <c r="AD611" s="123"/>
    </row>
    <row r="612" spans="1:30" s="329" customFormat="1" ht="12.75" customHeight="1" x14ac:dyDescent="0.2">
      <c r="A612" s="119"/>
      <c r="B612" s="32"/>
      <c r="C612" s="27"/>
      <c r="D612" s="27"/>
      <c r="E612" s="118"/>
      <c r="F612" s="118"/>
      <c r="G612" s="118"/>
      <c r="H612" s="118"/>
      <c r="I612" s="118"/>
      <c r="J612" s="119"/>
      <c r="K612" s="123"/>
      <c r="L612" s="123"/>
      <c r="M612" s="132"/>
      <c r="N612" s="132"/>
      <c r="O612" s="27"/>
      <c r="P612" s="27"/>
      <c r="Q612" s="132"/>
      <c r="R612" s="132"/>
      <c r="S612" s="124"/>
      <c r="T612" s="27"/>
      <c r="U612" s="27"/>
      <c r="V612" s="27"/>
      <c r="W612" s="27"/>
      <c r="X612" s="27"/>
      <c r="Y612" s="27"/>
      <c r="Z612" s="27"/>
      <c r="AA612" s="27"/>
      <c r="AB612" s="27"/>
      <c r="AC612" s="27"/>
      <c r="AD612" s="123"/>
    </row>
    <row r="613" spans="1:30" s="329" customFormat="1" ht="12.75" customHeight="1" x14ac:dyDescent="0.2">
      <c r="A613" s="119"/>
      <c r="B613" s="32"/>
      <c r="C613" s="27"/>
      <c r="D613" s="27"/>
      <c r="E613" s="118"/>
      <c r="F613" s="118"/>
      <c r="G613" s="118"/>
      <c r="H613" s="118"/>
      <c r="I613" s="118"/>
      <c r="J613" s="119"/>
      <c r="K613" s="123"/>
      <c r="L613" s="123"/>
      <c r="M613" s="132"/>
      <c r="N613" s="132"/>
      <c r="O613" s="27"/>
      <c r="P613" s="27"/>
      <c r="Q613" s="132"/>
      <c r="R613" s="132"/>
      <c r="S613" s="124"/>
      <c r="T613" s="27"/>
      <c r="U613" s="27"/>
      <c r="V613" s="27"/>
      <c r="W613" s="27"/>
      <c r="X613" s="27"/>
      <c r="Y613" s="27"/>
      <c r="Z613" s="27"/>
      <c r="AA613" s="27"/>
      <c r="AB613" s="27"/>
      <c r="AC613" s="27"/>
      <c r="AD613" s="123"/>
    </row>
    <row r="614" spans="1:30" s="329" customFormat="1" ht="12.75" customHeight="1" x14ac:dyDescent="0.2">
      <c r="A614" s="119"/>
      <c r="B614" s="32"/>
      <c r="C614" s="27"/>
      <c r="D614" s="27"/>
      <c r="E614" s="118"/>
      <c r="F614" s="118"/>
      <c r="G614" s="118"/>
      <c r="H614" s="118"/>
      <c r="I614" s="118"/>
      <c r="J614" s="119"/>
      <c r="K614" s="123"/>
      <c r="L614" s="123"/>
      <c r="M614" s="132"/>
      <c r="N614" s="132"/>
      <c r="O614" s="27"/>
      <c r="P614" s="27"/>
      <c r="Q614" s="132"/>
      <c r="R614" s="132"/>
      <c r="S614" s="124"/>
      <c r="T614" s="27"/>
      <c r="U614" s="27"/>
      <c r="V614" s="27"/>
      <c r="W614" s="27"/>
      <c r="X614" s="27"/>
      <c r="Y614" s="27"/>
      <c r="Z614" s="27"/>
      <c r="AA614" s="27"/>
      <c r="AB614" s="27"/>
      <c r="AC614" s="27"/>
      <c r="AD614" s="123"/>
    </row>
    <row r="615" spans="1:30" s="329" customFormat="1" ht="12.75" customHeight="1" x14ac:dyDescent="0.2">
      <c r="A615" s="119"/>
      <c r="B615" s="32"/>
      <c r="C615" s="27"/>
      <c r="D615" s="27"/>
      <c r="E615" s="118"/>
      <c r="F615" s="118"/>
      <c r="G615" s="118"/>
      <c r="H615" s="118"/>
      <c r="I615" s="118"/>
      <c r="J615" s="119"/>
      <c r="K615" s="123"/>
      <c r="L615" s="123"/>
      <c r="M615" s="132"/>
      <c r="N615" s="132"/>
      <c r="O615" s="27"/>
      <c r="P615" s="27"/>
      <c r="Q615" s="132"/>
      <c r="R615" s="132"/>
      <c r="S615" s="124"/>
      <c r="T615" s="27"/>
      <c r="U615" s="27"/>
      <c r="V615" s="27"/>
      <c r="W615" s="27"/>
      <c r="X615" s="27"/>
      <c r="Y615" s="27"/>
      <c r="Z615" s="27"/>
      <c r="AA615" s="27"/>
      <c r="AB615" s="27"/>
      <c r="AC615" s="27"/>
      <c r="AD615" s="123"/>
    </row>
    <row r="616" spans="1:30" s="329" customFormat="1" ht="12.75" customHeight="1" x14ac:dyDescent="0.2">
      <c r="A616" s="119"/>
      <c r="B616" s="32"/>
      <c r="C616" s="27"/>
      <c r="D616" s="27"/>
      <c r="E616" s="118"/>
      <c r="F616" s="118"/>
      <c r="G616" s="118"/>
      <c r="H616" s="118"/>
      <c r="I616" s="118"/>
      <c r="J616" s="119"/>
      <c r="K616" s="123"/>
      <c r="L616" s="123"/>
      <c r="M616" s="132"/>
      <c r="N616" s="132"/>
      <c r="O616" s="27"/>
      <c r="P616" s="27"/>
      <c r="Q616" s="132"/>
      <c r="R616" s="132"/>
      <c r="S616" s="124"/>
      <c r="T616" s="27"/>
      <c r="U616" s="27"/>
      <c r="V616" s="27"/>
      <c r="W616" s="27"/>
      <c r="X616" s="27"/>
      <c r="Y616" s="27"/>
      <c r="Z616" s="27"/>
      <c r="AA616" s="27"/>
      <c r="AB616" s="27"/>
      <c r="AC616" s="27"/>
      <c r="AD616" s="123"/>
    </row>
    <row r="617" spans="1:30" s="329" customFormat="1" ht="12.75" customHeight="1" x14ac:dyDescent="0.2">
      <c r="A617" s="119"/>
      <c r="B617" s="32"/>
      <c r="C617" s="27"/>
      <c r="D617" s="27"/>
      <c r="E617" s="118"/>
      <c r="F617" s="118"/>
      <c r="G617" s="118"/>
      <c r="H617" s="118"/>
      <c r="I617" s="118"/>
      <c r="J617" s="119"/>
      <c r="K617" s="123"/>
      <c r="L617" s="123"/>
      <c r="M617" s="132"/>
      <c r="N617" s="132"/>
      <c r="O617" s="27"/>
      <c r="P617" s="27"/>
      <c r="Q617" s="132"/>
      <c r="R617" s="132"/>
      <c r="S617" s="124"/>
      <c r="T617" s="27"/>
      <c r="U617" s="27"/>
      <c r="V617" s="27"/>
      <c r="W617" s="27"/>
      <c r="X617" s="27"/>
      <c r="Y617" s="27"/>
      <c r="Z617" s="27"/>
      <c r="AA617" s="27"/>
      <c r="AB617" s="27"/>
      <c r="AC617" s="27"/>
      <c r="AD617" s="123"/>
    </row>
    <row r="618" spans="1:30" s="329" customFormat="1" ht="12.75" customHeight="1" x14ac:dyDescent="0.2">
      <c r="A618" s="119"/>
      <c r="B618" s="32"/>
      <c r="C618" s="27"/>
      <c r="D618" s="27"/>
      <c r="E618" s="118"/>
      <c r="F618" s="118"/>
      <c r="G618" s="118"/>
      <c r="H618" s="118"/>
      <c r="I618" s="118"/>
      <c r="J618" s="119"/>
      <c r="K618" s="123"/>
      <c r="L618" s="123"/>
      <c r="M618" s="132"/>
      <c r="N618" s="132"/>
      <c r="O618" s="27"/>
      <c r="P618" s="27"/>
      <c r="Q618" s="132"/>
      <c r="R618" s="132"/>
      <c r="S618" s="124"/>
      <c r="T618" s="27"/>
      <c r="U618" s="27"/>
      <c r="V618" s="27"/>
      <c r="W618" s="27"/>
      <c r="X618" s="27"/>
      <c r="Y618" s="27"/>
      <c r="Z618" s="27"/>
      <c r="AA618" s="27"/>
      <c r="AB618" s="27"/>
      <c r="AC618" s="27"/>
      <c r="AD618" s="123"/>
    </row>
    <row r="619" spans="1:30" s="329" customFormat="1" ht="12.75" customHeight="1" x14ac:dyDescent="0.2">
      <c r="A619" s="119"/>
      <c r="B619" s="32"/>
      <c r="C619" s="27"/>
      <c r="D619" s="27"/>
      <c r="E619" s="118"/>
      <c r="F619" s="118"/>
      <c r="G619" s="118"/>
      <c r="H619" s="118"/>
      <c r="I619" s="118"/>
      <c r="J619" s="119"/>
      <c r="K619" s="123"/>
      <c r="L619" s="123"/>
      <c r="M619" s="132"/>
      <c r="N619" s="132"/>
      <c r="O619" s="27"/>
      <c r="P619" s="27"/>
      <c r="Q619" s="132"/>
      <c r="R619" s="132"/>
      <c r="S619" s="124"/>
      <c r="T619" s="27"/>
      <c r="U619" s="27"/>
      <c r="V619" s="27"/>
      <c r="W619" s="27"/>
      <c r="X619" s="27"/>
      <c r="Y619" s="27"/>
      <c r="Z619" s="27"/>
      <c r="AA619" s="27"/>
      <c r="AB619" s="27"/>
      <c r="AC619" s="27"/>
      <c r="AD619" s="123"/>
    </row>
    <row r="620" spans="1:30" s="329" customFormat="1" ht="12.75" customHeight="1" x14ac:dyDescent="0.2">
      <c r="A620" s="119"/>
      <c r="B620" s="32"/>
      <c r="C620" s="27"/>
      <c r="D620" s="27"/>
      <c r="E620" s="118"/>
      <c r="F620" s="118"/>
      <c r="G620" s="118"/>
      <c r="H620" s="118"/>
      <c r="I620" s="118"/>
      <c r="J620" s="119"/>
      <c r="K620" s="123"/>
      <c r="L620" s="123"/>
      <c r="M620" s="132"/>
      <c r="N620" s="132"/>
      <c r="O620" s="27"/>
      <c r="P620" s="27"/>
      <c r="Q620" s="132"/>
      <c r="R620" s="132"/>
      <c r="S620" s="124"/>
      <c r="T620" s="27"/>
      <c r="U620" s="27"/>
      <c r="V620" s="27"/>
      <c r="W620" s="27"/>
      <c r="X620" s="27"/>
      <c r="Y620" s="27"/>
      <c r="Z620" s="27"/>
      <c r="AA620" s="27"/>
      <c r="AB620" s="27"/>
      <c r="AC620" s="27"/>
      <c r="AD620" s="123"/>
    </row>
    <row r="621" spans="1:30" s="329" customFormat="1" ht="12.75" customHeight="1" x14ac:dyDescent="0.2">
      <c r="A621" s="119"/>
      <c r="B621" s="32"/>
      <c r="C621" s="27"/>
      <c r="D621" s="27"/>
      <c r="E621" s="118"/>
      <c r="F621" s="118"/>
      <c r="G621" s="118"/>
      <c r="H621" s="118"/>
      <c r="I621" s="118"/>
      <c r="J621" s="119"/>
      <c r="K621" s="123"/>
      <c r="L621" s="123"/>
      <c r="M621" s="132"/>
      <c r="N621" s="132"/>
      <c r="O621" s="27"/>
      <c r="P621" s="27"/>
      <c r="Q621" s="132"/>
      <c r="R621" s="132"/>
      <c r="S621" s="124"/>
      <c r="T621" s="27"/>
      <c r="U621" s="27"/>
      <c r="V621" s="27"/>
      <c r="W621" s="27"/>
      <c r="X621" s="27"/>
      <c r="Y621" s="27"/>
      <c r="Z621" s="27"/>
      <c r="AA621" s="27"/>
      <c r="AB621" s="27"/>
      <c r="AC621" s="27"/>
      <c r="AD621" s="123"/>
    </row>
    <row r="622" spans="1:30" s="329" customFormat="1" ht="12.75" customHeight="1" x14ac:dyDescent="0.2">
      <c r="A622" s="119"/>
      <c r="B622" s="32"/>
      <c r="C622" s="27"/>
      <c r="D622" s="27"/>
      <c r="E622" s="118"/>
      <c r="F622" s="118"/>
      <c r="G622" s="118"/>
      <c r="H622" s="118"/>
      <c r="I622" s="118"/>
      <c r="J622" s="119"/>
      <c r="K622" s="123"/>
      <c r="L622" s="123"/>
      <c r="M622" s="132"/>
      <c r="N622" s="132"/>
      <c r="O622" s="27"/>
      <c r="P622" s="27"/>
      <c r="Q622" s="132"/>
      <c r="R622" s="132"/>
      <c r="S622" s="124"/>
      <c r="T622" s="27"/>
      <c r="U622" s="27"/>
      <c r="V622" s="27"/>
      <c r="W622" s="27"/>
      <c r="X622" s="27"/>
      <c r="Y622" s="27"/>
      <c r="Z622" s="27"/>
      <c r="AA622" s="27"/>
      <c r="AB622" s="27"/>
      <c r="AC622" s="27"/>
      <c r="AD622" s="123"/>
    </row>
    <row r="623" spans="1:30" s="329" customFormat="1" ht="12.75" customHeight="1" x14ac:dyDescent="0.2">
      <c r="A623" s="119"/>
      <c r="B623" s="32"/>
      <c r="C623" s="27"/>
      <c r="D623" s="27"/>
      <c r="E623" s="118"/>
      <c r="F623" s="118"/>
      <c r="G623" s="118"/>
      <c r="H623" s="118"/>
      <c r="I623" s="118"/>
      <c r="J623" s="119"/>
      <c r="K623" s="123"/>
      <c r="L623" s="123"/>
      <c r="M623" s="132"/>
      <c r="N623" s="132"/>
      <c r="O623" s="27"/>
      <c r="P623" s="27"/>
      <c r="Q623" s="132"/>
      <c r="R623" s="132"/>
      <c r="S623" s="124"/>
      <c r="T623" s="27"/>
      <c r="U623" s="27"/>
      <c r="V623" s="27"/>
      <c r="W623" s="27"/>
      <c r="X623" s="27"/>
      <c r="Y623" s="27"/>
      <c r="Z623" s="27"/>
      <c r="AA623" s="27"/>
      <c r="AB623" s="27"/>
      <c r="AC623" s="27"/>
      <c r="AD623" s="123"/>
    </row>
    <row r="624" spans="1:30" s="329" customFormat="1" ht="12.75" customHeight="1" x14ac:dyDescent="0.2">
      <c r="A624" s="119"/>
      <c r="B624" s="32"/>
      <c r="C624" s="27"/>
      <c r="D624" s="27"/>
      <c r="E624" s="118"/>
      <c r="F624" s="118"/>
      <c r="G624" s="118"/>
      <c r="H624" s="118"/>
      <c r="I624" s="118"/>
      <c r="J624" s="119"/>
      <c r="K624" s="123"/>
      <c r="L624" s="123"/>
      <c r="M624" s="132"/>
      <c r="N624" s="132"/>
      <c r="O624" s="27"/>
      <c r="P624" s="27"/>
      <c r="Q624" s="132"/>
      <c r="R624" s="132"/>
      <c r="S624" s="124"/>
      <c r="T624" s="27"/>
      <c r="U624" s="27"/>
      <c r="V624" s="27"/>
      <c r="W624" s="27"/>
      <c r="X624" s="27"/>
      <c r="Y624" s="27"/>
      <c r="Z624" s="27"/>
      <c r="AA624" s="27"/>
      <c r="AB624" s="27"/>
      <c r="AC624" s="27"/>
      <c r="AD624" s="123"/>
    </row>
    <row r="625" spans="1:30" s="329" customFormat="1" ht="12.75" customHeight="1" x14ac:dyDescent="0.2">
      <c r="A625" s="119"/>
      <c r="B625" s="32"/>
      <c r="C625" s="27"/>
      <c r="D625" s="27"/>
      <c r="E625" s="118"/>
      <c r="F625" s="118"/>
      <c r="G625" s="118"/>
      <c r="H625" s="118"/>
      <c r="I625" s="118"/>
      <c r="J625" s="119"/>
      <c r="K625" s="123"/>
      <c r="L625" s="123"/>
      <c r="M625" s="132"/>
      <c r="N625" s="132"/>
      <c r="O625" s="27"/>
      <c r="P625" s="27"/>
      <c r="Q625" s="132"/>
      <c r="R625" s="132"/>
      <c r="S625" s="124"/>
      <c r="T625" s="27"/>
      <c r="U625" s="27"/>
      <c r="V625" s="27"/>
      <c r="W625" s="27"/>
      <c r="X625" s="27"/>
      <c r="Y625" s="27"/>
      <c r="Z625" s="27"/>
      <c r="AA625" s="27"/>
      <c r="AB625" s="27"/>
      <c r="AC625" s="27"/>
      <c r="AD625" s="123"/>
    </row>
    <row r="626" spans="1:30" s="329" customFormat="1" ht="12.75" customHeight="1" x14ac:dyDescent="0.2">
      <c r="A626" s="119"/>
      <c r="B626" s="32"/>
      <c r="C626" s="27"/>
      <c r="D626" s="27"/>
      <c r="E626" s="118"/>
      <c r="F626" s="118"/>
      <c r="G626" s="118"/>
      <c r="H626" s="118"/>
      <c r="I626" s="118"/>
      <c r="J626" s="119"/>
      <c r="K626" s="123"/>
      <c r="L626" s="123"/>
      <c r="M626" s="132"/>
      <c r="N626" s="132"/>
      <c r="O626" s="27"/>
      <c r="P626" s="27"/>
      <c r="Q626" s="132"/>
      <c r="R626" s="132"/>
      <c r="S626" s="124"/>
      <c r="T626" s="27"/>
      <c r="U626" s="27"/>
      <c r="V626" s="27"/>
      <c r="W626" s="27"/>
      <c r="X626" s="27"/>
      <c r="Y626" s="27"/>
      <c r="Z626" s="27"/>
      <c r="AA626" s="27"/>
      <c r="AB626" s="27"/>
      <c r="AC626" s="27"/>
      <c r="AD626" s="123"/>
    </row>
    <row r="627" spans="1:30" s="329" customFormat="1" ht="12.75" customHeight="1" x14ac:dyDescent="0.2">
      <c r="A627" s="119"/>
      <c r="B627" s="32"/>
      <c r="C627" s="27"/>
      <c r="D627" s="27"/>
      <c r="E627" s="118"/>
      <c r="F627" s="118"/>
      <c r="G627" s="118"/>
      <c r="H627" s="118"/>
      <c r="I627" s="118"/>
      <c r="J627" s="119"/>
      <c r="K627" s="123"/>
      <c r="L627" s="123"/>
      <c r="M627" s="132"/>
      <c r="N627" s="132"/>
      <c r="O627" s="27"/>
      <c r="P627" s="27"/>
      <c r="Q627" s="132"/>
      <c r="R627" s="132"/>
      <c r="S627" s="124"/>
      <c r="T627" s="27"/>
      <c r="U627" s="27"/>
      <c r="V627" s="27"/>
      <c r="W627" s="27"/>
      <c r="X627" s="27"/>
      <c r="Y627" s="27"/>
      <c r="Z627" s="27"/>
      <c r="AA627" s="27"/>
      <c r="AB627" s="27"/>
      <c r="AC627" s="27"/>
      <c r="AD627" s="123"/>
    </row>
    <row r="628" spans="1:30" s="329" customFormat="1" ht="12.75" customHeight="1" x14ac:dyDescent="0.2">
      <c r="A628" s="119"/>
      <c r="B628" s="32"/>
      <c r="C628" s="27"/>
      <c r="D628" s="27"/>
      <c r="E628" s="118"/>
      <c r="F628" s="118"/>
      <c r="G628" s="118"/>
      <c r="H628" s="118"/>
      <c r="I628" s="118"/>
      <c r="J628" s="119"/>
      <c r="K628" s="123"/>
      <c r="L628" s="123"/>
      <c r="M628" s="132"/>
      <c r="N628" s="132"/>
      <c r="O628" s="27"/>
      <c r="P628" s="27"/>
      <c r="Q628" s="132"/>
      <c r="R628" s="132"/>
      <c r="S628" s="124"/>
      <c r="T628" s="27"/>
      <c r="U628" s="27"/>
      <c r="V628" s="27"/>
      <c r="W628" s="27"/>
      <c r="X628" s="27"/>
      <c r="Y628" s="27"/>
      <c r="Z628" s="27"/>
      <c r="AA628" s="27"/>
      <c r="AB628" s="27"/>
      <c r="AC628" s="27"/>
      <c r="AD628" s="123"/>
    </row>
    <row r="629" spans="1:30" s="329" customFormat="1" ht="12.75" customHeight="1" x14ac:dyDescent="0.2">
      <c r="A629" s="119"/>
      <c r="B629" s="32"/>
      <c r="C629" s="27"/>
      <c r="D629" s="27"/>
      <c r="E629" s="118"/>
      <c r="F629" s="118"/>
      <c r="G629" s="118"/>
      <c r="H629" s="118"/>
      <c r="I629" s="118"/>
      <c r="J629" s="119"/>
      <c r="K629" s="123"/>
      <c r="L629" s="123"/>
      <c r="M629" s="132"/>
      <c r="N629" s="132"/>
      <c r="O629" s="27"/>
      <c r="P629" s="27"/>
      <c r="Q629" s="132"/>
      <c r="R629" s="132"/>
      <c r="S629" s="124"/>
      <c r="T629" s="27"/>
      <c r="U629" s="27"/>
      <c r="V629" s="27"/>
      <c r="W629" s="27"/>
      <c r="X629" s="27"/>
      <c r="Y629" s="27"/>
      <c r="Z629" s="27"/>
      <c r="AA629" s="27"/>
      <c r="AB629" s="27"/>
      <c r="AC629" s="27"/>
      <c r="AD629" s="123"/>
    </row>
    <row r="630" spans="1:30" s="329" customFormat="1" ht="12.75" customHeight="1" x14ac:dyDescent="0.2">
      <c r="A630" s="119"/>
      <c r="B630" s="32"/>
      <c r="C630" s="27"/>
      <c r="D630" s="27"/>
      <c r="E630" s="118"/>
      <c r="F630" s="118"/>
      <c r="G630" s="118"/>
      <c r="H630" s="118"/>
      <c r="I630" s="118"/>
      <c r="J630" s="119"/>
      <c r="K630" s="123"/>
      <c r="L630" s="123"/>
      <c r="M630" s="132"/>
      <c r="N630" s="132"/>
      <c r="O630" s="27"/>
      <c r="P630" s="27"/>
      <c r="Q630" s="132"/>
      <c r="R630" s="132"/>
      <c r="S630" s="124"/>
      <c r="T630" s="27"/>
      <c r="U630" s="27"/>
      <c r="V630" s="27"/>
      <c r="W630" s="27"/>
      <c r="X630" s="27"/>
      <c r="Y630" s="27"/>
      <c r="Z630" s="27"/>
      <c r="AA630" s="27"/>
      <c r="AB630" s="27"/>
      <c r="AC630" s="27"/>
      <c r="AD630" s="123"/>
    </row>
    <row r="631" spans="1:30" s="329" customFormat="1" ht="12.75" customHeight="1" x14ac:dyDescent="0.2">
      <c r="A631" s="119"/>
      <c r="B631" s="32"/>
      <c r="C631" s="27"/>
      <c r="D631" s="27"/>
      <c r="E631" s="118"/>
      <c r="F631" s="118"/>
      <c r="G631" s="118"/>
      <c r="H631" s="118"/>
      <c r="I631" s="118"/>
      <c r="J631" s="119"/>
      <c r="K631" s="123"/>
      <c r="L631" s="123"/>
      <c r="M631" s="132"/>
      <c r="N631" s="132"/>
      <c r="O631" s="27"/>
      <c r="P631" s="27"/>
      <c r="Q631" s="132"/>
      <c r="R631" s="132"/>
      <c r="S631" s="124"/>
      <c r="T631" s="27"/>
      <c r="U631" s="27"/>
      <c r="V631" s="27"/>
      <c r="W631" s="27"/>
      <c r="X631" s="27"/>
      <c r="Y631" s="27"/>
      <c r="Z631" s="27"/>
      <c r="AA631" s="27"/>
      <c r="AB631" s="27"/>
      <c r="AC631" s="27"/>
      <c r="AD631" s="123"/>
    </row>
    <row r="632" spans="1:30" s="329" customFormat="1" ht="12.75" customHeight="1" x14ac:dyDescent="0.2">
      <c r="A632" s="119"/>
      <c r="B632" s="32"/>
      <c r="C632" s="27"/>
      <c r="D632" s="27"/>
      <c r="E632" s="118"/>
      <c r="F632" s="118"/>
      <c r="G632" s="118"/>
      <c r="H632" s="118"/>
      <c r="I632" s="118"/>
      <c r="J632" s="119"/>
      <c r="K632" s="123"/>
      <c r="L632" s="123"/>
      <c r="M632" s="132"/>
      <c r="N632" s="132"/>
      <c r="O632" s="27"/>
      <c r="P632" s="27"/>
      <c r="Q632" s="132"/>
      <c r="R632" s="132"/>
      <c r="S632" s="124"/>
      <c r="T632" s="27"/>
      <c r="U632" s="27"/>
      <c r="V632" s="27"/>
      <c r="W632" s="27"/>
      <c r="X632" s="27"/>
      <c r="Y632" s="27"/>
      <c r="Z632" s="27"/>
      <c r="AA632" s="27"/>
      <c r="AB632" s="27"/>
      <c r="AC632" s="27"/>
      <c r="AD632" s="123"/>
    </row>
    <row r="633" spans="1:30" s="329" customFormat="1" ht="12.75" customHeight="1" x14ac:dyDescent="0.2">
      <c r="A633" s="119"/>
      <c r="B633" s="32"/>
      <c r="C633" s="27"/>
      <c r="D633" s="27"/>
      <c r="E633" s="118"/>
      <c r="F633" s="118"/>
      <c r="G633" s="118"/>
      <c r="H633" s="118"/>
      <c r="I633" s="118"/>
      <c r="J633" s="119"/>
      <c r="K633" s="123"/>
      <c r="L633" s="123"/>
      <c r="M633" s="132"/>
      <c r="N633" s="132"/>
      <c r="O633" s="27"/>
      <c r="P633" s="27"/>
      <c r="Q633" s="132"/>
      <c r="R633" s="132"/>
      <c r="S633" s="124"/>
      <c r="T633" s="27"/>
      <c r="U633" s="27"/>
      <c r="V633" s="27"/>
      <c r="W633" s="27"/>
      <c r="X633" s="27"/>
      <c r="Y633" s="27"/>
      <c r="Z633" s="27"/>
      <c r="AA633" s="27"/>
      <c r="AB633" s="27"/>
      <c r="AC633" s="27"/>
      <c r="AD633" s="123"/>
    </row>
    <row r="634" spans="1:30" s="329" customFormat="1" ht="12.75" customHeight="1" x14ac:dyDescent="0.2">
      <c r="A634" s="119"/>
      <c r="B634" s="32"/>
      <c r="C634" s="27"/>
      <c r="D634" s="27"/>
      <c r="E634" s="118"/>
      <c r="F634" s="118"/>
      <c r="G634" s="118"/>
      <c r="H634" s="118"/>
      <c r="I634" s="118"/>
      <c r="J634" s="119"/>
      <c r="K634" s="123"/>
      <c r="L634" s="123"/>
      <c r="M634" s="132"/>
      <c r="N634" s="132"/>
      <c r="O634" s="27"/>
      <c r="P634" s="27"/>
      <c r="Q634" s="132"/>
      <c r="R634" s="132"/>
      <c r="S634" s="124"/>
      <c r="T634" s="27"/>
      <c r="U634" s="27"/>
      <c r="V634" s="27"/>
      <c r="W634" s="27"/>
      <c r="X634" s="27"/>
      <c r="Y634" s="27"/>
      <c r="Z634" s="27"/>
      <c r="AA634" s="27"/>
      <c r="AB634" s="27"/>
      <c r="AC634" s="27"/>
      <c r="AD634" s="123"/>
    </row>
    <row r="635" spans="1:30" s="329" customFormat="1" ht="12.75" customHeight="1" x14ac:dyDescent="0.2">
      <c r="A635" s="119"/>
      <c r="B635" s="32"/>
      <c r="C635" s="27"/>
      <c r="D635" s="27"/>
      <c r="E635" s="118"/>
      <c r="F635" s="118"/>
      <c r="G635" s="118"/>
      <c r="H635" s="118"/>
      <c r="I635" s="118"/>
      <c r="J635" s="119"/>
      <c r="K635" s="123"/>
      <c r="L635" s="123"/>
      <c r="M635" s="132"/>
      <c r="N635" s="132"/>
      <c r="O635" s="27"/>
      <c r="P635" s="27"/>
      <c r="Q635" s="132"/>
      <c r="R635" s="132"/>
      <c r="S635" s="124"/>
      <c r="T635" s="27"/>
      <c r="U635" s="27"/>
      <c r="V635" s="27"/>
      <c r="W635" s="27"/>
      <c r="X635" s="27"/>
      <c r="Y635" s="27"/>
      <c r="Z635" s="27"/>
      <c r="AA635" s="27"/>
      <c r="AB635" s="27"/>
      <c r="AC635" s="27"/>
      <c r="AD635" s="123"/>
    </row>
    <row r="636" spans="1:30" s="329" customFormat="1" ht="12.75" customHeight="1" x14ac:dyDescent="0.2">
      <c r="A636" s="119"/>
      <c r="B636" s="32"/>
      <c r="C636" s="27"/>
      <c r="D636" s="27"/>
      <c r="E636" s="118"/>
      <c r="F636" s="118"/>
      <c r="G636" s="118"/>
      <c r="H636" s="118"/>
      <c r="I636" s="118"/>
      <c r="J636" s="119"/>
      <c r="K636" s="123"/>
      <c r="L636" s="123"/>
      <c r="M636" s="132"/>
      <c r="N636" s="132"/>
      <c r="O636" s="27"/>
      <c r="P636" s="27"/>
      <c r="Q636" s="132"/>
      <c r="R636" s="132"/>
      <c r="S636" s="124"/>
      <c r="T636" s="27"/>
      <c r="U636" s="27"/>
      <c r="V636" s="27"/>
      <c r="W636" s="27"/>
      <c r="X636" s="27"/>
      <c r="Y636" s="27"/>
      <c r="Z636" s="27"/>
      <c r="AA636" s="27"/>
      <c r="AB636" s="27"/>
      <c r="AC636" s="27"/>
      <c r="AD636" s="123"/>
    </row>
    <row r="637" spans="1:30" s="329" customFormat="1" ht="12.75" customHeight="1" x14ac:dyDescent="0.2">
      <c r="A637" s="119"/>
      <c r="B637" s="32"/>
      <c r="C637" s="27"/>
      <c r="D637" s="27"/>
      <c r="E637" s="118"/>
      <c r="F637" s="118"/>
      <c r="G637" s="118"/>
      <c r="H637" s="118"/>
      <c r="I637" s="118"/>
      <c r="J637" s="119"/>
      <c r="K637" s="123"/>
      <c r="L637" s="123"/>
      <c r="M637" s="132"/>
      <c r="N637" s="132"/>
      <c r="O637" s="27"/>
      <c r="P637" s="27"/>
      <c r="Q637" s="132"/>
      <c r="R637" s="132"/>
      <c r="S637" s="124"/>
      <c r="T637" s="27"/>
      <c r="U637" s="27"/>
      <c r="V637" s="27"/>
      <c r="W637" s="27"/>
      <c r="X637" s="27"/>
      <c r="Y637" s="27"/>
      <c r="Z637" s="27"/>
      <c r="AA637" s="27"/>
      <c r="AB637" s="27"/>
      <c r="AC637" s="27"/>
      <c r="AD637" s="123"/>
    </row>
    <row r="638" spans="1:30" s="329" customFormat="1" ht="12.75" customHeight="1" x14ac:dyDescent="0.2">
      <c r="A638" s="119"/>
      <c r="B638" s="32"/>
      <c r="C638" s="27"/>
      <c r="D638" s="27"/>
      <c r="E638" s="118"/>
      <c r="F638" s="118"/>
      <c r="G638" s="118"/>
      <c r="H638" s="118"/>
      <c r="I638" s="118"/>
      <c r="J638" s="119"/>
      <c r="K638" s="123"/>
      <c r="L638" s="123"/>
      <c r="M638" s="132"/>
      <c r="N638" s="132"/>
      <c r="O638" s="27"/>
      <c r="P638" s="27"/>
      <c r="Q638" s="132"/>
      <c r="R638" s="132"/>
      <c r="S638" s="124"/>
      <c r="T638" s="27"/>
      <c r="U638" s="27"/>
      <c r="V638" s="27"/>
      <c r="W638" s="27"/>
      <c r="X638" s="27"/>
      <c r="Y638" s="27"/>
      <c r="Z638" s="27"/>
      <c r="AA638" s="27"/>
      <c r="AB638" s="27"/>
      <c r="AC638" s="27"/>
      <c r="AD638" s="123"/>
    </row>
    <row r="639" spans="1:30" s="329" customFormat="1" ht="12.75" customHeight="1" x14ac:dyDescent="0.2">
      <c r="A639" s="119"/>
      <c r="B639" s="32"/>
      <c r="C639" s="27"/>
      <c r="D639" s="27"/>
      <c r="E639" s="118"/>
      <c r="F639" s="118"/>
      <c r="G639" s="118"/>
      <c r="H639" s="118"/>
      <c r="I639" s="118"/>
      <c r="J639" s="119"/>
      <c r="K639" s="123"/>
      <c r="L639" s="123"/>
      <c r="M639" s="132"/>
      <c r="N639" s="132"/>
      <c r="O639" s="27"/>
      <c r="P639" s="27"/>
      <c r="Q639" s="132"/>
      <c r="R639" s="132"/>
      <c r="S639" s="124"/>
      <c r="T639" s="27"/>
      <c r="U639" s="27"/>
      <c r="V639" s="27"/>
      <c r="W639" s="27"/>
      <c r="X639" s="27"/>
      <c r="Y639" s="27"/>
      <c r="Z639" s="27"/>
      <c r="AA639" s="27"/>
      <c r="AB639" s="27"/>
      <c r="AC639" s="27"/>
      <c r="AD639" s="123"/>
    </row>
    <row r="640" spans="1:30" s="329" customFormat="1" ht="12.75" customHeight="1" x14ac:dyDescent="0.2">
      <c r="A640" s="119"/>
      <c r="B640" s="32"/>
      <c r="C640" s="27"/>
      <c r="D640" s="27"/>
      <c r="E640" s="118"/>
      <c r="F640" s="118"/>
      <c r="G640" s="118"/>
      <c r="H640" s="118"/>
      <c r="I640" s="118"/>
      <c r="J640" s="119"/>
      <c r="K640" s="123"/>
      <c r="L640" s="123"/>
      <c r="M640" s="132"/>
      <c r="N640" s="132"/>
      <c r="O640" s="27"/>
      <c r="P640" s="27"/>
      <c r="Q640" s="132"/>
      <c r="R640" s="132"/>
      <c r="S640" s="124"/>
      <c r="T640" s="27"/>
      <c r="U640" s="27"/>
      <c r="V640" s="27"/>
      <c r="W640" s="27"/>
      <c r="X640" s="27"/>
      <c r="Y640" s="27"/>
      <c r="Z640" s="27"/>
      <c r="AA640" s="27"/>
      <c r="AB640" s="27"/>
      <c r="AC640" s="27"/>
      <c r="AD640" s="123"/>
    </row>
    <row r="641" spans="1:30" s="329" customFormat="1" ht="12.75" customHeight="1" x14ac:dyDescent="0.2">
      <c r="A641" s="119"/>
      <c r="B641" s="32"/>
      <c r="C641" s="27"/>
      <c r="D641" s="27"/>
      <c r="E641" s="118"/>
      <c r="F641" s="118"/>
      <c r="G641" s="118"/>
      <c r="H641" s="118"/>
      <c r="I641" s="118"/>
      <c r="J641" s="119"/>
      <c r="K641" s="123"/>
      <c r="L641" s="123"/>
      <c r="M641" s="132"/>
      <c r="N641" s="132"/>
      <c r="O641" s="27"/>
      <c r="P641" s="27"/>
      <c r="Q641" s="132"/>
      <c r="R641" s="132"/>
      <c r="S641" s="124"/>
      <c r="T641" s="27"/>
      <c r="U641" s="27"/>
      <c r="V641" s="27"/>
      <c r="W641" s="27"/>
      <c r="X641" s="27"/>
      <c r="Y641" s="27"/>
      <c r="Z641" s="27"/>
      <c r="AA641" s="27"/>
      <c r="AB641" s="27"/>
      <c r="AC641" s="27"/>
      <c r="AD641" s="123"/>
    </row>
    <row r="642" spans="1:30" s="329" customFormat="1" ht="12.75" customHeight="1" x14ac:dyDescent="0.2">
      <c r="A642" s="119"/>
      <c r="B642" s="32"/>
      <c r="C642" s="27"/>
      <c r="D642" s="27"/>
      <c r="E642" s="118"/>
      <c r="F642" s="118"/>
      <c r="G642" s="118"/>
      <c r="H642" s="118"/>
      <c r="I642" s="118"/>
      <c r="J642" s="119"/>
      <c r="K642" s="123"/>
      <c r="L642" s="123"/>
      <c r="M642" s="132"/>
      <c r="N642" s="132"/>
      <c r="O642" s="27"/>
      <c r="P642" s="27"/>
      <c r="Q642" s="132"/>
      <c r="R642" s="132"/>
      <c r="S642" s="124"/>
      <c r="T642" s="27"/>
      <c r="U642" s="27"/>
      <c r="V642" s="27"/>
      <c r="W642" s="27"/>
      <c r="X642" s="27"/>
      <c r="Y642" s="27"/>
      <c r="Z642" s="27"/>
      <c r="AA642" s="27"/>
      <c r="AB642" s="27"/>
      <c r="AC642" s="27"/>
      <c r="AD642" s="123"/>
    </row>
    <row r="643" spans="1:30" s="329" customFormat="1" ht="12.75" customHeight="1" x14ac:dyDescent="0.2">
      <c r="A643" s="119"/>
      <c r="B643" s="32"/>
      <c r="C643" s="27"/>
      <c r="D643" s="27"/>
      <c r="E643" s="118"/>
      <c r="F643" s="118"/>
      <c r="G643" s="118"/>
      <c r="H643" s="118"/>
      <c r="I643" s="118"/>
      <c r="J643" s="119"/>
      <c r="K643" s="123"/>
      <c r="L643" s="123"/>
      <c r="M643" s="132"/>
      <c r="N643" s="132"/>
      <c r="O643" s="27"/>
      <c r="P643" s="27"/>
      <c r="Q643" s="132"/>
      <c r="R643" s="132"/>
      <c r="S643" s="124"/>
      <c r="T643" s="27"/>
      <c r="U643" s="27"/>
      <c r="V643" s="27"/>
      <c r="W643" s="27"/>
      <c r="X643" s="27"/>
      <c r="Y643" s="27"/>
      <c r="Z643" s="27"/>
      <c r="AA643" s="27"/>
      <c r="AB643" s="27"/>
      <c r="AC643" s="27"/>
      <c r="AD643" s="123"/>
    </row>
    <row r="644" spans="1:30" s="329" customFormat="1" ht="12.75" customHeight="1" x14ac:dyDescent="0.2">
      <c r="A644" s="119"/>
      <c r="B644" s="32"/>
      <c r="C644" s="27"/>
      <c r="D644" s="27"/>
      <c r="E644" s="118"/>
      <c r="F644" s="118"/>
      <c r="G644" s="118"/>
      <c r="H644" s="118"/>
      <c r="I644" s="118"/>
      <c r="J644" s="119"/>
      <c r="K644" s="123"/>
      <c r="L644" s="123"/>
      <c r="M644" s="132"/>
      <c r="N644" s="132"/>
      <c r="O644" s="27"/>
      <c r="P644" s="27"/>
      <c r="Q644" s="132"/>
      <c r="R644" s="132"/>
      <c r="S644" s="124"/>
      <c r="T644" s="27"/>
      <c r="U644" s="27"/>
      <c r="V644" s="27"/>
      <c r="W644" s="27"/>
      <c r="X644" s="27"/>
      <c r="Y644" s="27"/>
      <c r="Z644" s="27"/>
      <c r="AA644" s="27"/>
      <c r="AB644" s="27"/>
      <c r="AC644" s="27"/>
      <c r="AD644" s="123"/>
    </row>
    <row r="645" spans="1:30" s="329" customFormat="1" ht="12.75" customHeight="1" x14ac:dyDescent="0.2">
      <c r="A645" s="119"/>
      <c r="B645" s="32"/>
      <c r="C645" s="27"/>
      <c r="D645" s="27"/>
      <c r="E645" s="118"/>
      <c r="F645" s="118"/>
      <c r="G645" s="118"/>
      <c r="H645" s="118"/>
      <c r="I645" s="118"/>
      <c r="J645" s="119"/>
      <c r="K645" s="123"/>
      <c r="L645" s="123"/>
      <c r="M645" s="132"/>
      <c r="N645" s="132"/>
      <c r="O645" s="27"/>
      <c r="P645" s="27"/>
      <c r="Q645" s="132"/>
      <c r="R645" s="132"/>
      <c r="S645" s="124"/>
      <c r="T645" s="27"/>
      <c r="U645" s="27"/>
      <c r="V645" s="27"/>
      <c r="W645" s="27"/>
      <c r="X645" s="27"/>
      <c r="Y645" s="27"/>
      <c r="Z645" s="27"/>
      <c r="AA645" s="27"/>
      <c r="AB645" s="27"/>
      <c r="AC645" s="27"/>
      <c r="AD645" s="123"/>
    </row>
    <row r="646" spans="1:30" s="329" customFormat="1" ht="12.75" customHeight="1" x14ac:dyDescent="0.2">
      <c r="A646" s="119"/>
      <c r="B646" s="32"/>
      <c r="C646" s="27"/>
      <c r="D646" s="27"/>
      <c r="E646" s="118"/>
      <c r="F646" s="118"/>
      <c r="G646" s="118"/>
      <c r="H646" s="118"/>
      <c r="I646" s="118"/>
      <c r="J646" s="119"/>
      <c r="K646" s="123"/>
      <c r="L646" s="123"/>
      <c r="M646" s="132"/>
      <c r="N646" s="132"/>
      <c r="O646" s="27"/>
      <c r="P646" s="27"/>
      <c r="Q646" s="132"/>
      <c r="R646" s="132"/>
      <c r="S646" s="124"/>
      <c r="T646" s="27"/>
      <c r="U646" s="27"/>
      <c r="V646" s="27"/>
      <c r="W646" s="27"/>
      <c r="X646" s="27"/>
      <c r="Y646" s="27"/>
      <c r="Z646" s="27"/>
      <c r="AA646" s="27"/>
      <c r="AB646" s="27"/>
      <c r="AC646" s="27"/>
      <c r="AD646" s="123"/>
    </row>
    <row r="647" spans="1:30" s="329" customFormat="1" ht="12.75" customHeight="1" x14ac:dyDescent="0.2">
      <c r="A647" s="119"/>
      <c r="B647" s="32"/>
      <c r="C647" s="27"/>
      <c r="D647" s="27"/>
      <c r="E647" s="118"/>
      <c r="F647" s="118"/>
      <c r="G647" s="118"/>
      <c r="H647" s="118"/>
      <c r="I647" s="118"/>
      <c r="J647" s="119"/>
      <c r="K647" s="123"/>
      <c r="L647" s="123"/>
      <c r="M647" s="132"/>
      <c r="N647" s="132"/>
      <c r="O647" s="27"/>
      <c r="P647" s="27"/>
      <c r="Q647" s="132"/>
      <c r="R647" s="132"/>
      <c r="S647" s="124"/>
      <c r="T647" s="27"/>
      <c r="U647" s="27"/>
      <c r="V647" s="27"/>
      <c r="W647" s="27"/>
      <c r="X647" s="27"/>
      <c r="Y647" s="27"/>
      <c r="Z647" s="27"/>
      <c r="AA647" s="27"/>
      <c r="AB647" s="27"/>
      <c r="AC647" s="27"/>
      <c r="AD647" s="123"/>
    </row>
    <row r="648" spans="1:30" s="329" customFormat="1" ht="12.75" customHeight="1" x14ac:dyDescent="0.2">
      <c r="A648" s="119"/>
      <c r="B648" s="32"/>
      <c r="C648" s="27"/>
      <c r="D648" s="27"/>
      <c r="E648" s="118"/>
      <c r="F648" s="118"/>
      <c r="G648" s="118"/>
      <c r="H648" s="118"/>
      <c r="I648" s="118"/>
      <c r="J648" s="119"/>
      <c r="K648" s="123"/>
      <c r="L648" s="123"/>
      <c r="M648" s="132"/>
      <c r="N648" s="132"/>
      <c r="O648" s="27"/>
      <c r="P648" s="27"/>
      <c r="Q648" s="132"/>
      <c r="R648" s="132"/>
      <c r="S648" s="124"/>
      <c r="T648" s="27"/>
      <c r="U648" s="27"/>
      <c r="V648" s="27"/>
      <c r="W648" s="27"/>
      <c r="X648" s="27"/>
      <c r="Y648" s="27"/>
      <c r="Z648" s="27"/>
      <c r="AA648" s="27"/>
      <c r="AB648" s="27"/>
      <c r="AC648" s="27"/>
      <c r="AD648" s="123"/>
    </row>
    <row r="649" spans="1:30" s="329" customFormat="1" ht="12.75" customHeight="1" x14ac:dyDescent="0.2">
      <c r="A649" s="119"/>
      <c r="B649" s="32"/>
      <c r="C649" s="27"/>
      <c r="D649" s="27"/>
      <c r="E649" s="118"/>
      <c r="F649" s="118"/>
      <c r="G649" s="118"/>
      <c r="H649" s="118"/>
      <c r="I649" s="118"/>
      <c r="J649" s="119"/>
      <c r="K649" s="123"/>
      <c r="L649" s="123"/>
      <c r="M649" s="132"/>
      <c r="N649" s="132"/>
      <c r="O649" s="27"/>
      <c r="P649" s="27"/>
      <c r="Q649" s="132"/>
      <c r="R649" s="132"/>
      <c r="S649" s="124"/>
      <c r="T649" s="27"/>
      <c r="U649" s="27"/>
      <c r="V649" s="27"/>
      <c r="W649" s="27"/>
      <c r="X649" s="27"/>
      <c r="Y649" s="27"/>
      <c r="Z649" s="27"/>
      <c r="AA649" s="27"/>
      <c r="AB649" s="27"/>
      <c r="AC649" s="27"/>
      <c r="AD649" s="123"/>
    </row>
    <row r="650" spans="1:30" s="329" customFormat="1" ht="12.75" customHeight="1" x14ac:dyDescent="0.2">
      <c r="A650" s="119"/>
      <c r="B650" s="32"/>
      <c r="C650" s="27"/>
      <c r="D650" s="27"/>
      <c r="E650" s="118"/>
      <c r="F650" s="118"/>
      <c r="G650" s="118"/>
      <c r="H650" s="118"/>
      <c r="I650" s="118"/>
      <c r="J650" s="119"/>
      <c r="K650" s="123"/>
      <c r="L650" s="123"/>
      <c r="M650" s="132"/>
      <c r="N650" s="132"/>
      <c r="O650" s="27"/>
      <c r="P650" s="27"/>
      <c r="Q650" s="132"/>
      <c r="R650" s="132"/>
      <c r="S650" s="124"/>
      <c r="T650" s="27"/>
      <c r="U650" s="27"/>
      <c r="V650" s="27"/>
      <c r="W650" s="27"/>
      <c r="X650" s="27"/>
      <c r="Y650" s="27"/>
      <c r="Z650" s="27"/>
      <c r="AA650" s="27"/>
      <c r="AB650" s="27"/>
      <c r="AC650" s="27"/>
      <c r="AD650" s="123"/>
    </row>
    <row r="651" spans="1:30" s="329" customFormat="1" ht="12.75" customHeight="1" x14ac:dyDescent="0.2">
      <c r="A651" s="119"/>
      <c r="B651" s="32"/>
      <c r="C651" s="27"/>
      <c r="D651" s="27"/>
      <c r="E651" s="118"/>
      <c r="F651" s="118"/>
      <c r="G651" s="118"/>
      <c r="H651" s="118"/>
      <c r="I651" s="118"/>
      <c r="J651" s="119"/>
      <c r="K651" s="123"/>
      <c r="L651" s="123"/>
      <c r="M651" s="132"/>
      <c r="N651" s="132"/>
      <c r="O651" s="27"/>
      <c r="P651" s="27"/>
      <c r="Q651" s="132"/>
      <c r="R651" s="132"/>
      <c r="S651" s="124"/>
      <c r="T651" s="27"/>
      <c r="U651" s="27"/>
      <c r="V651" s="27"/>
      <c r="W651" s="27"/>
      <c r="X651" s="27"/>
      <c r="Y651" s="27"/>
      <c r="Z651" s="27"/>
      <c r="AA651" s="27"/>
      <c r="AB651" s="27"/>
      <c r="AC651" s="27"/>
      <c r="AD651" s="123"/>
    </row>
    <row r="652" spans="1:30" s="329" customFormat="1" ht="12.75" customHeight="1" x14ac:dyDescent="0.2">
      <c r="A652" s="119"/>
      <c r="B652" s="32"/>
      <c r="C652" s="27"/>
      <c r="D652" s="27"/>
      <c r="E652" s="118"/>
      <c r="F652" s="118"/>
      <c r="G652" s="118"/>
      <c r="H652" s="118"/>
      <c r="I652" s="118"/>
      <c r="J652" s="119"/>
      <c r="K652" s="123"/>
      <c r="L652" s="123"/>
      <c r="M652" s="132"/>
      <c r="N652" s="132"/>
      <c r="O652" s="27"/>
      <c r="P652" s="27"/>
      <c r="Q652" s="132"/>
      <c r="R652" s="132"/>
      <c r="S652" s="124"/>
      <c r="T652" s="27"/>
      <c r="U652" s="27"/>
      <c r="V652" s="27"/>
      <c r="W652" s="27"/>
      <c r="X652" s="27"/>
      <c r="Y652" s="27"/>
      <c r="Z652" s="27"/>
      <c r="AA652" s="27"/>
      <c r="AB652" s="27"/>
      <c r="AC652" s="27"/>
      <c r="AD652" s="123"/>
    </row>
    <row r="653" spans="1:30" s="329" customFormat="1" ht="12.75" customHeight="1" x14ac:dyDescent="0.2">
      <c r="A653" s="119"/>
      <c r="B653" s="32"/>
      <c r="C653" s="27"/>
      <c r="D653" s="27"/>
      <c r="E653" s="118"/>
      <c r="F653" s="118"/>
      <c r="G653" s="118"/>
      <c r="H653" s="118"/>
      <c r="I653" s="118"/>
      <c r="J653" s="119"/>
      <c r="K653" s="123"/>
      <c r="L653" s="123"/>
      <c r="M653" s="132"/>
      <c r="N653" s="132"/>
      <c r="O653" s="27"/>
      <c r="P653" s="27"/>
      <c r="Q653" s="132"/>
      <c r="R653" s="132"/>
      <c r="S653" s="124"/>
      <c r="T653" s="27"/>
      <c r="U653" s="27"/>
      <c r="V653" s="27"/>
      <c r="W653" s="27"/>
      <c r="X653" s="27"/>
      <c r="Y653" s="27"/>
      <c r="Z653" s="27"/>
      <c r="AA653" s="27"/>
      <c r="AB653" s="27"/>
      <c r="AC653" s="27"/>
      <c r="AD653" s="123"/>
    </row>
    <row r="654" spans="1:30" s="329" customFormat="1" ht="12.75" customHeight="1" x14ac:dyDescent="0.2">
      <c r="A654" s="119"/>
      <c r="B654" s="32"/>
      <c r="C654" s="27"/>
      <c r="D654" s="27"/>
      <c r="E654" s="118"/>
      <c r="F654" s="118"/>
      <c r="G654" s="118"/>
      <c r="H654" s="118"/>
      <c r="I654" s="118"/>
      <c r="J654" s="119"/>
      <c r="K654" s="123"/>
      <c r="L654" s="123"/>
      <c r="M654" s="132"/>
      <c r="N654" s="132"/>
      <c r="O654" s="27"/>
      <c r="P654" s="27"/>
      <c r="Q654" s="132"/>
      <c r="R654" s="132"/>
      <c r="S654" s="124"/>
      <c r="T654" s="27"/>
      <c r="U654" s="27"/>
      <c r="V654" s="27"/>
      <c r="W654" s="27"/>
      <c r="X654" s="27"/>
      <c r="Y654" s="27"/>
      <c r="Z654" s="27"/>
      <c r="AA654" s="27"/>
      <c r="AB654" s="27"/>
      <c r="AC654" s="27"/>
      <c r="AD654" s="123"/>
    </row>
    <row r="655" spans="1:30" s="329" customFormat="1" ht="12.75" customHeight="1" x14ac:dyDescent="0.2">
      <c r="A655" s="119"/>
      <c r="B655" s="32"/>
      <c r="C655" s="27"/>
      <c r="D655" s="27"/>
      <c r="E655" s="118"/>
      <c r="F655" s="118"/>
      <c r="G655" s="118"/>
      <c r="H655" s="118"/>
      <c r="I655" s="118"/>
      <c r="J655" s="119"/>
      <c r="K655" s="123"/>
      <c r="L655" s="123"/>
      <c r="M655" s="132"/>
      <c r="N655" s="132"/>
      <c r="O655" s="27"/>
      <c r="P655" s="27"/>
      <c r="Q655" s="132"/>
      <c r="R655" s="132"/>
      <c r="S655" s="124"/>
      <c r="T655" s="27"/>
      <c r="U655" s="27"/>
      <c r="V655" s="27"/>
      <c r="W655" s="27"/>
      <c r="X655" s="27"/>
      <c r="Y655" s="27"/>
      <c r="Z655" s="27"/>
      <c r="AA655" s="27"/>
      <c r="AB655" s="27"/>
      <c r="AC655" s="27"/>
      <c r="AD655" s="123"/>
    </row>
    <row r="656" spans="1:30" s="329" customFormat="1" ht="12.75" customHeight="1" x14ac:dyDescent="0.2">
      <c r="A656" s="119"/>
      <c r="B656" s="32"/>
      <c r="C656" s="27"/>
      <c r="D656" s="27"/>
      <c r="E656" s="118"/>
      <c r="F656" s="118"/>
      <c r="G656" s="118"/>
      <c r="H656" s="118"/>
      <c r="I656" s="118"/>
      <c r="J656" s="119"/>
      <c r="K656" s="123"/>
      <c r="L656" s="123"/>
      <c r="M656" s="132"/>
      <c r="N656" s="132"/>
      <c r="O656" s="27"/>
      <c r="P656" s="27"/>
      <c r="Q656" s="132"/>
      <c r="R656" s="132"/>
      <c r="S656" s="124"/>
      <c r="T656" s="27"/>
      <c r="U656" s="27"/>
      <c r="V656" s="27"/>
      <c r="W656" s="27"/>
      <c r="X656" s="27"/>
      <c r="Y656" s="27"/>
      <c r="Z656" s="27"/>
      <c r="AA656" s="27"/>
      <c r="AB656" s="27"/>
      <c r="AC656" s="27"/>
      <c r="AD656" s="123"/>
    </row>
    <row r="657" spans="1:34" s="329" customFormat="1" ht="12.75" customHeight="1" x14ac:dyDescent="0.2">
      <c r="A657" s="119"/>
      <c r="B657" s="32"/>
      <c r="C657" s="27"/>
      <c r="D657" s="27"/>
      <c r="E657" s="118"/>
      <c r="F657" s="118"/>
      <c r="G657" s="118"/>
      <c r="H657" s="118"/>
      <c r="I657" s="118"/>
      <c r="J657" s="119"/>
      <c r="K657" s="123"/>
      <c r="L657" s="123"/>
      <c r="M657" s="132"/>
      <c r="N657" s="132"/>
      <c r="O657" s="27"/>
      <c r="P657" s="27"/>
      <c r="Q657" s="132"/>
      <c r="R657" s="132"/>
      <c r="S657" s="124"/>
      <c r="T657" s="27"/>
      <c r="U657" s="27"/>
      <c r="V657" s="27"/>
      <c r="W657" s="27"/>
      <c r="X657" s="27"/>
      <c r="Y657" s="27"/>
      <c r="Z657" s="27"/>
      <c r="AA657" s="27"/>
      <c r="AB657" s="27"/>
      <c r="AC657" s="27"/>
      <c r="AD657" s="123"/>
    </row>
    <row r="658" spans="1:34" s="329" customFormat="1" ht="12.75" customHeight="1" x14ac:dyDescent="0.2">
      <c r="A658" s="119"/>
      <c r="B658" s="32"/>
      <c r="C658" s="27"/>
      <c r="D658" s="27"/>
      <c r="E658" s="118"/>
      <c r="F658" s="118"/>
      <c r="G658" s="118"/>
      <c r="H658" s="118"/>
      <c r="I658" s="118"/>
      <c r="J658" s="119"/>
      <c r="K658" s="123"/>
      <c r="L658" s="123"/>
      <c r="M658" s="132"/>
      <c r="N658" s="132"/>
      <c r="O658" s="27"/>
      <c r="P658" s="27"/>
      <c r="Q658" s="132"/>
      <c r="R658" s="132"/>
      <c r="S658" s="124"/>
      <c r="T658" s="27"/>
      <c r="U658" s="27"/>
      <c r="V658" s="27"/>
      <c r="W658" s="27"/>
      <c r="X658" s="27"/>
      <c r="Y658" s="27"/>
      <c r="Z658" s="27"/>
      <c r="AA658" s="27"/>
      <c r="AB658" s="27"/>
      <c r="AC658" s="27"/>
      <c r="AD658" s="123"/>
    </row>
    <row r="659" spans="1:34" s="329" customFormat="1" ht="12.75" customHeight="1" x14ac:dyDescent="0.2">
      <c r="A659" s="119"/>
      <c r="B659" s="32"/>
      <c r="C659" s="27"/>
      <c r="D659" s="27"/>
      <c r="E659" s="118"/>
      <c r="F659" s="118"/>
      <c r="G659" s="118"/>
      <c r="H659" s="118"/>
      <c r="I659" s="118"/>
      <c r="J659" s="119"/>
      <c r="K659" s="123"/>
      <c r="L659" s="123"/>
      <c r="M659" s="196"/>
      <c r="N659" s="196"/>
      <c r="O659" s="27"/>
      <c r="P659" s="27"/>
      <c r="Q659" s="196"/>
      <c r="R659" s="196"/>
      <c r="S659" s="124"/>
      <c r="T659" s="27"/>
      <c r="U659" s="27"/>
      <c r="V659" s="27"/>
      <c r="W659" s="27"/>
      <c r="X659" s="27"/>
      <c r="Y659" s="27"/>
      <c r="Z659" s="27"/>
      <c r="AA659" s="27"/>
      <c r="AB659" s="27"/>
      <c r="AC659" s="27"/>
      <c r="AD659" s="123"/>
    </row>
    <row r="660" spans="1:34" s="329" customFormat="1" ht="12.75" customHeight="1" x14ac:dyDescent="0.2">
      <c r="A660" s="119"/>
      <c r="B660" s="32"/>
      <c r="C660" s="27"/>
      <c r="D660" s="27"/>
      <c r="E660" s="118"/>
      <c r="F660" s="118"/>
      <c r="G660" s="118"/>
      <c r="H660" s="118"/>
      <c r="I660" s="118"/>
      <c r="J660" s="119"/>
      <c r="K660" s="123"/>
      <c r="L660" s="123"/>
      <c r="M660" s="196"/>
      <c r="N660" s="196"/>
      <c r="O660" s="27"/>
      <c r="P660" s="27"/>
      <c r="Q660" s="196"/>
      <c r="R660" s="196"/>
      <c r="S660" s="124"/>
      <c r="T660" s="27"/>
      <c r="U660" s="27"/>
      <c r="V660" s="27"/>
      <c r="W660" s="27"/>
      <c r="X660" s="27"/>
      <c r="Y660" s="27"/>
      <c r="Z660" s="27"/>
      <c r="AA660" s="27"/>
      <c r="AB660" s="27"/>
      <c r="AC660" s="27"/>
      <c r="AD660" s="123"/>
    </row>
    <row r="661" spans="1:34" s="329" customFormat="1" ht="12.75" customHeight="1" x14ac:dyDescent="0.2">
      <c r="A661" s="119"/>
      <c r="B661" s="32"/>
      <c r="C661" s="27"/>
      <c r="D661" s="27"/>
      <c r="E661" s="118"/>
      <c r="F661" s="118"/>
      <c r="G661" s="118"/>
      <c r="H661" s="118"/>
      <c r="I661" s="118"/>
      <c r="J661" s="119"/>
      <c r="K661" s="123"/>
      <c r="L661" s="123"/>
      <c r="M661" s="196"/>
      <c r="N661" s="196"/>
      <c r="O661" s="27"/>
      <c r="P661" s="27"/>
      <c r="Q661" s="196"/>
      <c r="R661" s="196"/>
      <c r="S661" s="124"/>
      <c r="T661" s="27"/>
      <c r="U661" s="27"/>
      <c r="V661" s="27"/>
      <c r="W661" s="27"/>
      <c r="X661" s="27"/>
      <c r="Y661" s="27"/>
      <c r="Z661" s="27"/>
      <c r="AA661" s="27"/>
      <c r="AB661" s="27"/>
      <c r="AC661" s="27"/>
      <c r="AD661" s="123"/>
    </row>
    <row r="662" spans="1:34" s="329" customFormat="1" ht="12.75" customHeight="1" x14ac:dyDescent="0.2">
      <c r="A662" s="119"/>
      <c r="B662" s="32"/>
      <c r="C662" s="27"/>
      <c r="D662" s="27"/>
      <c r="E662" s="118"/>
      <c r="F662" s="118"/>
      <c r="G662" s="118"/>
      <c r="H662" s="118"/>
      <c r="I662" s="118"/>
      <c r="J662" s="119"/>
      <c r="K662" s="123"/>
      <c r="L662" s="123"/>
      <c r="M662" s="196"/>
      <c r="N662" s="196"/>
      <c r="O662" s="27"/>
      <c r="P662" s="27"/>
      <c r="Q662" s="196"/>
      <c r="R662" s="196"/>
      <c r="S662" s="124"/>
      <c r="T662" s="27"/>
      <c r="U662" s="27"/>
      <c r="V662" s="27"/>
      <c r="W662" s="27"/>
      <c r="X662" s="27"/>
      <c r="Y662" s="27"/>
      <c r="Z662" s="27"/>
      <c r="AA662" s="27"/>
      <c r="AB662" s="27"/>
      <c r="AC662" s="27"/>
      <c r="AD662" s="123"/>
    </row>
    <row r="663" spans="1:34" s="329" customFormat="1" ht="12.75" customHeight="1" x14ac:dyDescent="0.2">
      <c r="A663" s="119"/>
      <c r="B663" s="32"/>
      <c r="C663" s="27"/>
      <c r="D663" s="27"/>
      <c r="E663" s="118"/>
      <c r="F663" s="118"/>
      <c r="G663" s="118"/>
      <c r="H663" s="118"/>
      <c r="I663" s="118"/>
      <c r="J663" s="119"/>
      <c r="K663" s="123"/>
      <c r="L663" s="123"/>
      <c r="M663" s="196"/>
      <c r="N663" s="196"/>
      <c r="O663" s="27"/>
      <c r="P663" s="27"/>
      <c r="Q663" s="196"/>
      <c r="R663" s="196"/>
      <c r="S663" s="124"/>
      <c r="T663" s="27"/>
      <c r="U663" s="27"/>
      <c r="V663" s="27"/>
      <c r="W663" s="27"/>
      <c r="X663" s="27"/>
      <c r="Y663" s="27"/>
      <c r="Z663" s="27"/>
      <c r="AA663" s="27"/>
      <c r="AB663" s="27"/>
      <c r="AC663" s="27"/>
      <c r="AD663" s="123"/>
    </row>
    <row r="664" spans="1:34" ht="12.75" customHeight="1" x14ac:dyDescent="0.2">
      <c r="A664" s="119"/>
      <c r="AE664" s="329"/>
      <c r="AF664" s="329"/>
      <c r="AG664" s="329"/>
      <c r="AH664" s="329"/>
    </row>
    <row r="665" spans="1:34" ht="12.75" customHeight="1" x14ac:dyDescent="0.2">
      <c r="A665" s="119"/>
      <c r="AE665" s="329"/>
    </row>
    <row r="666" spans="1:34" ht="12.75" customHeight="1" x14ac:dyDescent="0.2">
      <c r="A666" s="119"/>
      <c r="AE666" s="329"/>
    </row>
    <row r="667" spans="1:34" ht="12.75" customHeight="1" x14ac:dyDescent="0.2">
      <c r="A667" s="119"/>
    </row>
    <row r="668" spans="1:34" ht="12.75" customHeight="1" x14ac:dyDescent="0.2">
      <c r="A668" s="119"/>
    </row>
    <row r="669" spans="1:34" ht="12.75" customHeight="1" x14ac:dyDescent="0.2">
      <c r="A669" s="119"/>
    </row>
    <row r="670" spans="1:34" ht="12.75" customHeight="1" x14ac:dyDescent="0.2">
      <c r="A670" s="119"/>
    </row>
    <row r="671" spans="1:34" ht="12.75" customHeight="1" x14ac:dyDescent="0.2">
      <c r="A671" s="119"/>
    </row>
  </sheetData>
  <sheetProtection algorithmName="SHA-512" hashValue="63DMDIuHzEGgbfmeOSYVerQe4T3P684+sk015BN0riaIwQEzQKLY8tdKdEvrNObA/4HJsZp1W9z+HADDMjk6Og==" saltValue="jxXxSkNiz2TI9LtGuEnyMA==" spinCount="100000" sheet="1" objects="1" scenarios="1" insertHyperlinks="0"/>
  <mergeCells count="34">
    <mergeCell ref="F147:I147"/>
    <mergeCell ref="Z108:AA108"/>
    <mergeCell ref="C1:D1"/>
    <mergeCell ref="K34:M34"/>
    <mergeCell ref="K51:M51"/>
    <mergeCell ref="K68:M68"/>
    <mergeCell ref="K85:M85"/>
    <mergeCell ref="B12:C12"/>
    <mergeCell ref="D514:G514"/>
    <mergeCell ref="L514:M516"/>
    <mergeCell ref="N514:R516"/>
    <mergeCell ref="E151:J151"/>
    <mergeCell ref="D506:E506"/>
    <mergeCell ref="M506:R506"/>
    <mergeCell ref="L509:M509"/>
    <mergeCell ref="N509:R509"/>
    <mergeCell ref="L510:M510"/>
    <mergeCell ref="N510:R510"/>
    <mergeCell ref="L511:M513"/>
    <mergeCell ref="N511:R513"/>
    <mergeCell ref="D512:G512"/>
    <mergeCell ref="D541:G541"/>
    <mergeCell ref="E517:F517"/>
    <mergeCell ref="L517:M519"/>
    <mergeCell ref="N517:R519"/>
    <mergeCell ref="D518:D522"/>
    <mergeCell ref="D533:G533"/>
    <mergeCell ref="H533:I533"/>
    <mergeCell ref="D534:E534"/>
    <mergeCell ref="I534:J534"/>
    <mergeCell ref="D536:F536"/>
    <mergeCell ref="H536:I536"/>
    <mergeCell ref="D540:G540"/>
    <mergeCell ref="K533:R533"/>
  </mergeCells>
  <phoneticPr fontId="2"/>
  <conditionalFormatting sqref="C2">
    <cfRule type="expression" dxfId="17" priority="15" stopIfTrue="1">
      <formula>C3=""</formula>
    </cfRule>
  </conditionalFormatting>
  <conditionalFormatting sqref="E72:I73">
    <cfRule type="cellIs" dxfId="16" priority="9" operator="lessThan">
      <formula>0</formula>
    </cfRule>
    <cfRule type="cellIs" dxfId="15" priority="10" operator="lessThan">
      <formula>0</formula>
    </cfRule>
  </conditionalFormatting>
  <conditionalFormatting sqref="E13:J13">
    <cfRule type="expression" dxfId="14" priority="25" stopIfTrue="1">
      <formula>E13&lt;&gt;""</formula>
    </cfRule>
  </conditionalFormatting>
  <conditionalFormatting sqref="E32:J32">
    <cfRule type="expression" dxfId="13" priority="16" stopIfTrue="1">
      <formula>E32="〇"</formula>
    </cfRule>
  </conditionalFormatting>
  <conditionalFormatting sqref="E45:J45">
    <cfRule type="cellIs" dxfId="12" priority="17" stopIfTrue="1" operator="equal">
      <formula>"〇"</formula>
    </cfRule>
    <cfRule type="expression" dxfId="11" priority="18" stopIfTrue="1">
      <formula>"〇"</formula>
    </cfRule>
  </conditionalFormatting>
  <conditionalFormatting sqref="E49:J49">
    <cfRule type="cellIs" dxfId="10" priority="21" stopIfTrue="1" operator="equal">
      <formula>"〇"</formula>
    </cfRule>
    <cfRule type="expression" dxfId="9" priority="22" stopIfTrue="1">
      <formula>"〇"</formula>
    </cfRule>
  </conditionalFormatting>
  <conditionalFormatting sqref="E51:J51">
    <cfRule type="cellIs" dxfId="8" priority="23" stopIfTrue="1" operator="equal">
      <formula>"〇"</formula>
    </cfRule>
    <cfRule type="expression" dxfId="7" priority="24" stopIfTrue="1">
      <formula>"〇"</formula>
    </cfRule>
  </conditionalFormatting>
  <conditionalFormatting sqref="E76:J77">
    <cfRule type="cellIs" dxfId="6" priority="1" stopIfTrue="1" operator="equal">
      <formula>"〇"</formula>
    </cfRule>
  </conditionalFormatting>
  <conditionalFormatting sqref="E78:J78">
    <cfRule type="cellIs" dxfId="5" priority="5" operator="lessThan">
      <formula>0</formula>
    </cfRule>
    <cfRule type="cellIs" dxfId="4" priority="6" operator="lessThan">
      <formula>0</formula>
    </cfRule>
  </conditionalFormatting>
  <conditionalFormatting sqref="K533">
    <cfRule type="expression" dxfId="3" priority="2" stopIfTrue="1">
      <formula>K533&lt;&gt;""</formula>
    </cfRule>
  </conditionalFormatting>
  <conditionalFormatting sqref="S35 E64:J64">
    <cfRule type="cellIs" dxfId="2" priority="27" stopIfTrue="1" operator="equal">
      <formula>"〇"</formula>
    </cfRule>
    <cfRule type="expression" dxfId="1" priority="28" stopIfTrue="1">
      <formula>"〇"</formula>
    </cfRule>
  </conditionalFormatting>
  <conditionalFormatting sqref="S42 E71:J71 F94:J95">
    <cfRule type="cellIs" dxfId="0" priority="26" stopIfTrue="1" operator="equal">
      <formula>"〇"</formula>
    </cfRule>
  </conditionalFormatting>
  <dataValidations xWindow="846" yWindow="739" count="14">
    <dataValidation allowBlank="1" showInputMessage="1" showErrorMessage="1" prompt="-100000は、MAX関数で_x000a_資格なしのダミー値。_x000a_平等割の最大値を超えていて、絶対に選ばらない。" sqref="K189:K200 K218:K229 K247:K258 K276:K287" xr:uid="{0B1C2DFC-78C3-4C7A-B8F2-E3B4EBEC1038}"/>
    <dataValidation type="custom" errorStyle="information" allowBlank="1" showInputMessage="1" showErrorMessage="1" error="日付は 「　2025／4／1　」 _x000a_の形式で入力してください。　_x000a_起算日と終了日は_x000a_画面右上の年度内（黄色個所）_x000a_の日付にしてください。_x000a_　（例）令和７年度の場合_x000a_　　　2025/4/1 ～2026/3/31_x000a_年度が違う場合は年度を修正してください " prompt="日付は 「　2025／4／1　」 _x000a_の形式で入力してください。　_x000a_起算日と終了日は_x000a_画面右上の年度内（黄色個所）_x000a_の日付にしてください。_x000a_　（例）令和７年度の場合_x000a_　　　2025/4/1 ～2026/3/31_x000a_※年度が違う場合は年度を修正してください " sqref="E15:J15" xr:uid="{6D639EC4-636C-44C7-B5BC-779D368AF70E}">
      <formula1>OR( E15="", AND(E15 &gt;=$C$5, E15 &lt;= $C$6))</formula1>
    </dataValidation>
    <dataValidation type="custom" errorStyle="information" allowBlank="1" showInputMessage="1" showErrorMessage="1" error="７桁の数字を入力してください_x000a_(例）_x000a_昭和51年3月4日生_x000a_の場合　_x000a_　　→ 3510304 _x000a_　　" prompt="(例）_x000a_昭和51年3月4日生_x000a_の場合　_x000a_　　→ 3510304 _x000a_　　 （7桁入力）" sqref="E19:J19" xr:uid="{4D918D33-3C16-4D97-AD6E-CFE7884B2BE7}">
      <formula1>OR(E19="",AND(ISNUMBER(E19),LEN(TEXT(E19,"0"))=7))</formula1>
    </dataValidation>
    <dataValidation type="date" errorStyle="information" allowBlank="1" showInputMessage="1" showErrorMessage="1" error="日付を西暦　2025/4/1　の形式で　「 / 」 を含めて入力してください。" prompt="日付を _x000a_2025／4／1 _x000a_の形式で入力して下さい。_x000a_　　" sqref="E30:J30" xr:uid="{303F81C4-3195-4586-BFE5-23D1E6F17FF2}">
      <formula1>1</formula1>
      <formula2>2958465</formula2>
    </dataValidation>
    <dataValidation type="list" allowBlank="1" showInputMessage="1" showErrorMessage="1" sqref="E10:J10" xr:uid="{1175C791-C823-45BD-85A2-ED4A08B1EFF3}">
      <formula1>$W$12:$W$14</formula1>
    </dataValidation>
    <dataValidation allowBlank="1" showInputMessage="1" showErrorMessage="1" sqref="S29:S30 E54:J54" xr:uid="{5A876F11-8656-4A01-A29D-BC4C2A4E7FAB}"/>
    <dataValidation type="list" allowBlank="1" showInputMessage="1" showErrorMessage="1" sqref="E28:J29" xr:uid="{294133FC-4FCC-49F7-A6C6-55473DBA43B7}">
      <formula1>$U$12:$U$14</formula1>
    </dataValidation>
    <dataValidation type="list" allowBlank="1" showInputMessage="1" showErrorMessage="1" sqref="E31:J31" xr:uid="{E41E018A-97D1-44A3-AC44-858277F37493}">
      <formula1>$V$12:$V$16</formula1>
    </dataValidation>
    <dataValidation type="list" allowBlank="1" showInputMessage="1" showErrorMessage="1" sqref="C3" xr:uid="{F02D1CED-EDF1-41F6-8DA8-41C8AC6ADD33}">
      <formula1>$X$12:$X$20</formula1>
    </dataValidation>
    <dataValidation allowBlank="1" showInputMessage="1" showErrorMessage="1" prompt="擬制世帯主の収入も入力して下さい。" sqref="E21:J25" xr:uid="{0FA1D550-6014-4448-A23F-9BEC2C18EEB6}"/>
    <dataValidation allowBlank="1" showInputMessage="1" showErrorMessage="1" prompt="●専従者給与は対象外_x000a_" sqref="D58" xr:uid="{68B6EA18-54CA-483C-9479-AA0CA99BB589}"/>
    <dataValidation imeMode="hiragana" allowBlank="1" showInputMessage="1" showErrorMessage="1" sqref="E11:J11" xr:uid="{E373F714-FABC-4504-A72E-5D65E753206C}"/>
    <dataValidation type="custom" errorStyle="information" allowBlank="1" showInputMessage="1" showErrorMessage="1" error="年度末(3/31)が表示されます_x000a_年度途中で国民健康保険を脱される場合は、資格喪失日に修正してください。_x000a_起算日以上の日付で入力してください。" prompt="年度末(3/31)が表示されます_x000a_年度途中で国民健康保険を脱退される場合は、資格喪失日に修正してください。" sqref="E16:J16" xr:uid="{0A9E3ACA-DD1B-411C-9461-AAAAD033B277}">
      <formula1>OR( E16="", AND(E16 &gt;=$C$5, E16 &lt;= $C$6,E16 &gt;=E15))</formula1>
    </dataValidation>
    <dataValidation type="list" allowBlank="1" showInputMessage="1" showErrorMessage="1" error="セル右下の▼　ドロップダウンの項目の中から選択してください" prompt="世帯主の方は、_x000a_1　普通世帯主　　(国保資格のある世帯主）_x000a_2　☆擬制世帯主（国保資格のない世帯主）_x000a_3　☆擬制世帯主【旧国保】（国保から後期_x000a_　　高齢者医療保険に加入した世帯主）_x000a_4　普通世帯主【擬主→国保】_x000a_　（年度途中で国保加入した世帯主）_x000a_　　のいずれかを必ず選択して下さい。_x000a_      ※選択肢が見えない場合は、_x000a_         画面を少しスクロールしてください。_x000a_" sqref="E18:J18" xr:uid="{9D531F8F-865E-42F2-AF9D-470260752E78}">
      <formula1>$T$12:$T$18</formula1>
    </dataValidation>
  </dataValidations>
  <pageMargins left="0.82677165354330717" right="0.11811023622047245" top="0.31496062992125984" bottom="0.23622047244094491" header="0.11811023622047245" footer="0"/>
  <pageSetup paperSize="9" scale="96" orientation="landscape" r:id="rId1"/>
  <rowBreaks count="4" manualBreakCount="4">
    <brk id="43" max="32" man="1"/>
    <brk id="86" max="32" man="1"/>
    <brk id="211" max="32" man="1"/>
    <brk id="294" max="32" man="1"/>
  </rowBreaks>
  <ignoredErrors>
    <ignoredError sqref="E132:J132 E169:J169 E177:J177" formula="1"/>
    <ignoredError sqref="T72" unlockedFormula="1"/>
    <ignoredError sqref="E59:E62 E66:E68 E70:E75 E77"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注意事項</vt:lpstr>
      <vt:lpstr>軽減制度</vt:lpstr>
      <vt:lpstr>申告書</vt:lpstr>
      <vt:lpstr>計算シート</vt:lpstr>
      <vt:lpstr>計算シート!Print_Area</vt:lpstr>
      <vt:lpstr>軽減制度!Print_Area</vt:lpstr>
      <vt:lpstr>申告書!Print_Area</vt:lpstr>
      <vt:lpstr>注意事項!Print_Area</vt:lpstr>
      <vt:lpstr>計算シート!トップ</vt:lpstr>
      <vt:lpstr>計算シート!仮計算</vt:lpstr>
      <vt:lpstr>計算シート!計算結果</vt:lpstr>
      <vt:lpstr>注意事項!資格情報</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増永　孝一</cp:lastModifiedBy>
  <cp:lastPrinted>2026-03-18T00:08:03Z</cp:lastPrinted>
  <dcterms:created xsi:type="dcterms:W3CDTF">2009-04-06T06:05:51Z</dcterms:created>
  <dcterms:modified xsi:type="dcterms:W3CDTF">2026-03-18T22:52:01Z</dcterms:modified>
</cp:coreProperties>
</file>