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DEA14C53-602A-4DBE-856C-878901A60139}" xr6:coauthVersionLast="47" xr6:coauthVersionMax="47" xr10:uidLastSave="{00000000-0000-0000-0000-000000000000}"/>
  <bookViews>
    <workbookView xWindow="20370" yWindow="-120" windowWidth="19440" windowHeight="1500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<sst xmlns="http://schemas.openxmlformats.org/spreadsheetml/2006/main" count="11022" uniqueCount="2357">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</sst>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592">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lignment vertical="center"/>
    </xf>
    <xf numFmtId="0" fontId="43" fillId="25" borderId="0" xfId="0" applyFont="1" applyFill="1">
      <alignment vertical="center"/>
    </xf>
    <xf numFmtId="0" fontId="34" fillId="25" borderId="0" xfId="0" applyFont="1" applyFill="1">
      <alignment vertical="center"/>
    </xf>
    <xf numFmtId="0" fontId="48" fillId="25" borderId="0" xfId="0" applyFont="1" applyFill="1">
      <alignment vertical="center"/>
    </xf>
    <xf numFmtId="0" fontId="48" fillId="0" borderId="0" xfId="0" applyFont="1" applyAlignment="1">
      <alignment horizontal="center" vertical="center"/>
    </xf>
    <xf numFmtId="49" fontId="47" fillId="25" borderId="0" xfId="0" applyNumberFormat="1" applyFont="1" applyFill="1" applyAlignment="1">
      <alignment horizontal="center" vertical="center"/>
    </xf>
    <xf numFmtId="49" fontId="47" fillId="25" borderId="0" xfId="0" applyNumberFormat="1" applyFont="1" applyFill="1" applyAlignment="1">
      <alignment horizontal="left" vertical="center"/>
    </xf>
    <xf numFmtId="0" fontId="42" fillId="25" borderId="0" xfId="0" applyFont="1" applyFill="1">
      <alignment vertical="center"/>
    </xf>
    <xf numFmtId="0" fontId="50" fillId="25" borderId="0" xfId="0" applyFont="1" applyFill="1" applyAlignment="1"/>
    <xf numFmtId="0" fontId="52" fillId="25" borderId="0" xfId="0" applyFont="1" applyFill="1">
      <alignment vertical="center"/>
    </xf>
    <xf numFmtId="0" fontId="52" fillId="0" borderId="0" xfId="0" applyFont="1">
      <alignment vertical="center"/>
    </xf>
    <xf numFmtId="0" fontId="51" fillId="25" borderId="69" xfId="0" applyFont="1" applyFill="1" applyBorder="1">
      <alignment vertical="center"/>
    </xf>
    <xf numFmtId="0" fontId="51" fillId="25" borderId="12" xfId="0" applyFont="1" applyFill="1" applyBorder="1">
      <alignment vertical="center"/>
    </xf>
    <xf numFmtId="0" fontId="51" fillId="25" borderId="35" xfId="0" applyFont="1" applyFill="1" applyBorder="1">
      <alignment vertical="center"/>
    </xf>
    <xf numFmtId="0" fontId="52" fillId="25" borderId="35" xfId="0" applyFont="1" applyFill="1" applyBorder="1">
      <alignment vertical="center"/>
    </xf>
    <xf numFmtId="49" fontId="42" fillId="25" borderId="0" xfId="0" applyNumberFormat="1" applyFont="1" applyFill="1" applyAlignment="1">
      <alignment horizontal="left" vertical="center"/>
    </xf>
    <xf numFmtId="49" fontId="50" fillId="25" borderId="0" xfId="0" applyNumberFormat="1" applyFont="1" applyFill="1" applyAlignment="1">
      <alignment horizontal="left" vertical="center"/>
    </xf>
    <xf numFmtId="0" fontId="50" fillId="25" borderId="0" xfId="0" applyFont="1" applyFill="1">
      <alignment vertical="center"/>
    </xf>
    <xf numFmtId="0" fontId="51" fillId="25" borderId="0" xfId="0" applyFont="1" applyFill="1">
      <alignment vertical="center"/>
    </xf>
    <xf numFmtId="0" fontId="57" fillId="25" borderId="14" xfId="0" applyFont="1" applyFill="1" applyBorder="1" applyAlignment="1">
      <alignment horizontal="center" vertical="center"/>
    </xf>
    <xf numFmtId="0" fontId="57" fillId="0" borderId="29" xfId="0" applyFont="1" applyBorder="1">
      <alignment vertical="center"/>
    </xf>
    <xf numFmtId="0" fontId="57" fillId="25" borderId="32" xfId="0" applyFont="1" applyFill="1" applyBorder="1" applyAlignment="1">
      <alignment horizontal="center" vertical="center"/>
    </xf>
    <xf numFmtId="0" fontId="57" fillId="0" borderId="14" xfId="0" applyFont="1" applyBorder="1">
      <alignment vertical="center"/>
    </xf>
    <xf numFmtId="0" fontId="57" fillId="25" borderId="17" xfId="0" applyFont="1" applyFill="1" applyBorder="1" applyAlignment="1">
      <alignment horizontal="center" vertical="center"/>
    </xf>
    <xf numFmtId="0" fontId="57" fillId="25" borderId="75" xfId="0" applyFont="1" applyFill="1" applyBorder="1" applyAlignment="1">
      <alignment horizontal="left" vertical="center"/>
    </xf>
    <xf numFmtId="0" fontId="57" fillId="0" borderId="12" xfId="0" applyFont="1" applyBorder="1" applyAlignment="1">
      <alignment horizontal="center" vertical="center"/>
    </xf>
    <xf numFmtId="0" fontId="57" fillId="0" borderId="11" xfId="0" applyFont="1" applyBorder="1">
      <alignment vertical="center"/>
    </xf>
    <xf numFmtId="0" fontId="46" fillId="29" borderId="102" xfId="0" applyFont="1" applyFill="1" applyBorder="1" applyAlignment="1">
      <alignment horizontal="center" vertical="center"/>
    </xf>
    <xf numFmtId="0" fontId="57" fillId="25" borderId="12" xfId="0" applyFont="1" applyFill="1" applyBorder="1" applyAlignment="1">
      <alignment horizontal="center" vertical="center"/>
    </xf>
    <xf numFmtId="0" fontId="57" fillId="0" borderId="116" xfId="0" applyFont="1" applyBorder="1">
      <alignment vertical="center"/>
    </xf>
    <xf numFmtId="0" fontId="57" fillId="0" borderId="77" xfId="0" applyFont="1" applyBorder="1">
      <alignment vertical="center"/>
    </xf>
    <xf numFmtId="183" fontId="0" fillId="0" borderId="0" xfId="0" applyNumberFormat="1">
      <alignment vertical="center"/>
    </xf>
    <xf numFmtId="0" fontId="57" fillId="0" borderId="0" xfId="0" applyFont="1">
      <alignment vertical="center"/>
    </xf>
    <xf numFmtId="0" fontId="34" fillId="0" borderId="0" xfId="0" applyFont="1">
      <alignment vertical="center"/>
    </xf>
    <xf numFmtId="0" fontId="30" fillId="25" borderId="0" xfId="0" applyFont="1" applyFill="1">
      <alignment vertical="center"/>
    </xf>
    <xf numFmtId="0" fontId="30" fillId="25" borderId="0" xfId="0" applyFont="1" applyFill="1" applyAlignment="1">
      <alignment horizontal="center" vertical="top"/>
    </xf>
    <xf numFmtId="0" fontId="30" fillId="25" borderId="0" xfId="0" applyFont="1" applyFill="1" applyAlignment="1">
      <alignment horizontal="center" vertical="center"/>
    </xf>
    <xf numFmtId="0" fontId="55" fillId="0" borderId="0" xfId="0" applyFont="1">
      <alignment vertical="center"/>
    </xf>
    <xf numFmtId="0" fontId="46" fillId="0" borderId="0" xfId="0" applyFont="1" applyAlignment="1">
      <alignment horizontal="left" vertical="center"/>
    </xf>
    <xf numFmtId="0" fontId="50" fillId="0" borderId="0" xfId="0" applyFont="1">
      <alignment vertical="center"/>
    </xf>
    <xf numFmtId="0" fontId="51" fillId="0" borderId="79" xfId="0" applyFont="1" applyBorder="1">
      <alignment vertical="center"/>
    </xf>
    <xf numFmtId="0" fontId="51" fillId="25" borderId="23" xfId="0" applyFont="1" applyFill="1" applyBorder="1">
      <alignment vertical="center"/>
    </xf>
    <xf numFmtId="0" fontId="51" fillId="0" borderId="23" xfId="0" applyFont="1" applyBorder="1">
      <alignment vertical="center"/>
    </xf>
    <xf numFmtId="0" fontId="51"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1" fillId="25" borderId="18" xfId="0" applyFont="1" applyFill="1" applyBorder="1">
      <alignment vertical="center"/>
    </xf>
    <xf numFmtId="0" fontId="45" fillId="25" borderId="104" xfId="0" applyFont="1" applyFill="1" applyBorder="1">
      <alignment vertical="center"/>
    </xf>
    <xf numFmtId="0" fontId="47" fillId="25" borderId="20" xfId="0" applyFont="1" applyFill="1" applyBorder="1">
      <alignment vertical="center"/>
    </xf>
    <xf numFmtId="0" fontId="51" fillId="25" borderId="20" xfId="0" applyFont="1" applyFill="1" applyBorder="1">
      <alignment vertical="center"/>
    </xf>
    <xf numFmtId="0" fontId="47" fillId="25" borderId="0" xfId="0" applyFont="1" applyFill="1">
      <alignment vertical="center"/>
    </xf>
    <xf numFmtId="0" fontId="51" fillId="25" borderId="37" xfId="0" applyFont="1" applyFill="1" applyBorder="1">
      <alignment vertical="center"/>
    </xf>
    <xf numFmtId="0" fontId="99" fillId="33" borderId="77" xfId="0" applyFont="1" applyFill="1" applyBorder="1">
      <alignment vertical="center"/>
    </xf>
    <xf numFmtId="0" fontId="45" fillId="25" borderId="0" xfId="0" applyFont="1" applyFill="1">
      <alignment vertical="center"/>
    </xf>
    <xf numFmtId="0" fontId="99" fillId="33" borderId="10" xfId="0" applyFont="1" applyFill="1" applyBorder="1">
      <alignment vertical="center"/>
    </xf>
    <xf numFmtId="0" fontId="45" fillId="25" borderId="36" xfId="0" applyFont="1" applyFill="1" applyBorder="1">
      <alignment vertical="center"/>
    </xf>
    <xf numFmtId="0" fontId="45" fillId="25" borderId="33" xfId="0" applyFont="1" applyFill="1" applyBorder="1">
      <alignment vertical="center"/>
    </xf>
    <xf numFmtId="0" fontId="45" fillId="25" borderId="0" xfId="0" applyFont="1" applyFill="1" applyAlignment="1">
      <alignment horizontal="center" vertical="center"/>
    </xf>
    <xf numFmtId="0" fontId="100" fillId="0" borderId="0" xfId="0" applyFont="1">
      <alignment vertical="center"/>
    </xf>
    <xf numFmtId="0" fontId="47" fillId="25" borderId="33" xfId="0" applyFont="1" applyFill="1" applyBorder="1">
      <alignment vertical="center"/>
    </xf>
    <xf numFmtId="0" fontId="51" fillId="25" borderId="36" xfId="0" applyFont="1" applyFill="1" applyBorder="1">
      <alignment vertical="center"/>
    </xf>
    <xf numFmtId="0" fontId="45" fillId="0" borderId="101" xfId="0" applyFont="1" applyBorder="1" applyAlignment="1">
      <alignment horizontal="left" vertical="center"/>
    </xf>
    <xf numFmtId="0" fontId="51" fillId="25" borderId="18" xfId="0" applyFont="1" applyFill="1" applyBorder="1" applyAlignment="1">
      <alignment horizontal="center" vertical="center"/>
    </xf>
    <xf numFmtId="0" fontId="99" fillId="33" borderId="13" xfId="0" applyFont="1" applyFill="1" applyBorder="1">
      <alignment vertical="center"/>
    </xf>
    <xf numFmtId="0" fontId="45" fillId="25" borderId="0" xfId="0" applyFont="1" applyFill="1" applyAlignment="1">
      <alignment horizontal="left" vertical="center"/>
    </xf>
    <xf numFmtId="0" fontId="51" fillId="25" borderId="0" xfId="0" applyFont="1" applyFill="1" applyAlignment="1">
      <alignment horizontal="center" vertical="center"/>
    </xf>
    <xf numFmtId="0" fontId="51" fillId="25" borderId="36" xfId="0" applyFont="1" applyFill="1" applyBorder="1" applyAlignment="1">
      <alignment horizontal="center" vertical="center"/>
    </xf>
    <xf numFmtId="0" fontId="45" fillId="25" borderId="0" xfId="0" applyFont="1" applyFill="1" applyAlignment="1">
      <alignment vertical="center" wrapText="1"/>
    </xf>
    <xf numFmtId="0" fontId="30" fillId="0" borderId="12" xfId="0" applyFont="1" applyBorder="1" applyAlignment="1">
      <alignment horizontal="center" vertical="center"/>
    </xf>
    <xf numFmtId="0" fontId="30" fillId="25" borderId="33" xfId="0" applyFont="1" applyFill="1" applyBorder="1" applyAlignment="1">
      <alignment vertical="center" wrapText="1"/>
    </xf>
    <xf numFmtId="0" fontId="30" fillId="25" borderId="0" xfId="0" applyFont="1" applyFill="1" applyAlignment="1">
      <alignment vertical="center" wrapText="1"/>
    </xf>
    <xf numFmtId="49" fontId="54" fillId="25" borderId="0" xfId="0" applyNumberFormat="1" applyFont="1" applyFill="1">
      <alignment vertical="center"/>
    </xf>
    <xf numFmtId="0" fontId="77" fillId="0" borderId="0" xfId="0" applyFont="1" applyAlignment="1">
      <alignment horizontal="center" vertical="top" wrapText="1"/>
    </xf>
    <xf numFmtId="0" fontId="47" fillId="25" borderId="0" xfId="0" applyFont="1" applyFill="1" applyAlignment="1">
      <alignment vertical="center" wrapText="1"/>
    </xf>
    <xf numFmtId="0" fontId="47" fillId="25" borderId="0" xfId="0" applyFont="1" applyFill="1" applyAlignment="1">
      <alignment horizontal="left" vertical="top" wrapText="1"/>
    </xf>
    <xf numFmtId="0" fontId="45" fillId="25" borderId="29" xfId="0" applyFont="1" applyFill="1" applyBorder="1">
      <alignment vertical="center"/>
    </xf>
    <xf numFmtId="0" fontId="0" fillId="25" borderId="0" xfId="0" applyFill="1" applyAlignment="1"/>
    <xf numFmtId="0" fontId="47" fillId="25" borderId="0" xfId="0" applyFont="1" applyFill="1" applyAlignment="1">
      <alignment horizontal="left" vertical="center"/>
    </xf>
    <xf numFmtId="0" fontId="46" fillId="30" borderId="102" xfId="0" applyFont="1" applyFill="1" applyBorder="1" applyAlignment="1">
      <alignment horizontal="center" vertical="center"/>
    </xf>
    <xf numFmtId="0" fontId="45" fillId="25" borderId="15" xfId="0" applyFont="1" applyFill="1" applyBorder="1">
      <alignment vertical="center"/>
    </xf>
    <xf numFmtId="0" fontId="63" fillId="25" borderId="36" xfId="0" applyFont="1" applyFill="1" applyBorder="1" applyAlignment="1">
      <alignment horizontal="right" vertical="center" shrinkToFit="1"/>
    </xf>
    <xf numFmtId="0" fontId="63" fillId="25" borderId="0" xfId="0" applyFont="1" applyFill="1" applyAlignment="1">
      <alignment vertical="center" shrinkToFit="1"/>
    </xf>
    <xf numFmtId="0" fontId="0" fillId="25" borderId="82" xfId="0" applyFill="1" applyBorder="1" applyAlignment="1">
      <alignment horizontal="left" vertical="top"/>
    </xf>
    <xf numFmtId="0" fontId="45" fillId="25" borderId="61" xfId="0" applyFont="1" applyFill="1" applyBorder="1">
      <alignment vertical="center"/>
    </xf>
    <xf numFmtId="0" fontId="0" fillId="25" borderId="0" xfId="0" applyFill="1" applyAlignment="1">
      <alignment vertical="top"/>
    </xf>
    <xf numFmtId="0" fontId="66" fillId="25" borderId="0" xfId="0" applyFont="1" applyFill="1">
      <alignment vertical="center"/>
    </xf>
    <xf numFmtId="0" fontId="63" fillId="25" borderId="0" xfId="0" applyFont="1" applyFill="1" applyAlignment="1">
      <alignment horizontal="right" vertical="center" shrinkToFit="1"/>
    </xf>
    <xf numFmtId="2" fontId="63" fillId="25" borderId="0" xfId="0" applyNumberFormat="1" applyFont="1" applyFill="1" applyAlignment="1">
      <alignment horizontal="center" vertical="center" shrinkToFit="1"/>
    </xf>
    <xf numFmtId="0" fontId="45" fillId="25" borderId="75" xfId="0" applyFont="1" applyFill="1" applyBorder="1" applyAlignment="1">
      <alignment horizontal="left" vertical="top" wrapText="1"/>
    </xf>
    <xf numFmtId="0" fontId="0" fillId="0" borderId="103" xfId="0" applyBorder="1">
      <alignment vertical="center"/>
    </xf>
    <xf numFmtId="0" fontId="46" fillId="25" borderId="0" xfId="0" applyFont="1" applyFill="1">
      <alignment vertical="center"/>
    </xf>
    <xf numFmtId="0" fontId="30" fillId="0" borderId="0" xfId="0" applyFont="1">
      <alignment vertical="center"/>
    </xf>
    <xf numFmtId="0" fontId="47" fillId="0" borderId="0" xfId="0" applyFont="1" applyAlignment="1">
      <alignment horizontal="left" vertical="center" wrapText="1"/>
    </xf>
    <xf numFmtId="0" fontId="30" fillId="25" borderId="0" xfId="0" applyFont="1" applyFill="1" applyAlignment="1">
      <alignment horizontal="left" vertical="center" wrapText="1"/>
    </xf>
    <xf numFmtId="0" fontId="60" fillId="25" borderId="0" xfId="0" applyFont="1" applyFill="1" applyAlignment="1">
      <alignment horizontal="left" vertical="center" wrapText="1"/>
    </xf>
    <xf numFmtId="0" fontId="41" fillId="0" borderId="0" xfId="0" applyFont="1" applyAlignment="1">
      <alignment horizontal="left" vertical="top" wrapText="1"/>
    </xf>
    <xf numFmtId="49" fontId="47" fillId="25" borderId="0" xfId="0" applyNumberFormat="1" applyFont="1" applyFill="1" applyAlignment="1">
      <alignment horizontal="center" vertical="top"/>
    </xf>
    <xf numFmtId="0" fontId="0" fillId="25" borderId="16" xfId="0" applyFill="1" applyBorder="1">
      <alignment vertical="center"/>
    </xf>
    <xf numFmtId="0" fontId="45" fillId="25" borderId="116" xfId="0" applyFont="1" applyFill="1" applyBorder="1">
      <alignment vertical="center"/>
    </xf>
    <xf numFmtId="0" fontId="45" fillId="0" borderId="0" xfId="0" applyFont="1" applyAlignment="1">
      <alignment horizontal="left" vertical="center"/>
    </xf>
    <xf numFmtId="2" fontId="63" fillId="25" borderId="0" xfId="0" applyNumberFormat="1" applyFont="1" applyFill="1" applyAlignment="1">
      <alignment vertical="center" shrinkToFit="1"/>
    </xf>
    <xf numFmtId="0" fontId="0" fillId="25" borderId="32" xfId="0" applyFill="1" applyBorder="1">
      <alignment vertical="center"/>
    </xf>
    <xf numFmtId="0" fontId="45" fillId="25" borderId="17" xfId="0" applyFont="1" applyFill="1" applyBorder="1" applyAlignment="1">
      <alignment vertical="center" wrapText="1"/>
    </xf>
    <xf numFmtId="0" fontId="0" fillId="0" borderId="118" xfId="0" applyBorder="1">
      <alignment vertical="center"/>
    </xf>
    <xf numFmtId="0" fontId="45" fillId="25" borderId="32" xfId="0" applyFont="1" applyFill="1" applyBorder="1" applyAlignment="1">
      <alignment horizontal="left" vertical="center"/>
    </xf>
    <xf numFmtId="0" fontId="0" fillId="25" borderId="32" xfId="0" applyFill="1" applyBorder="1" applyAlignment="1">
      <alignment horizontal="left" vertical="center"/>
    </xf>
    <xf numFmtId="0" fontId="45" fillId="25" borderId="17" xfId="0" applyFont="1" applyFill="1" applyBorder="1" applyAlignment="1">
      <alignment horizontal="left" vertical="center" wrapText="1"/>
    </xf>
    <xf numFmtId="0" fontId="63" fillId="25" borderId="0" xfId="0" applyFont="1" applyFill="1" applyAlignment="1">
      <alignment vertical="center" textRotation="255" shrinkToFit="1"/>
    </xf>
    <xf numFmtId="0" fontId="47" fillId="25" borderId="0" xfId="0" applyFont="1" applyFill="1" applyAlignment="1">
      <alignment horizontal="center" vertical="center"/>
    </xf>
    <xf numFmtId="0" fontId="38" fillId="25" borderId="0" xfId="0" applyFont="1" applyFill="1">
      <alignment vertical="center"/>
    </xf>
    <xf numFmtId="49" fontId="38" fillId="0" borderId="0" xfId="0" applyNumberFormat="1" applyFont="1" applyAlignment="1">
      <alignment horizontal="left" vertical="center"/>
    </xf>
    <xf numFmtId="0" fontId="38" fillId="0" borderId="0" xfId="0" applyFont="1">
      <alignment vertical="center"/>
    </xf>
    <xf numFmtId="49" fontId="54" fillId="25" borderId="0" xfId="0" applyNumberFormat="1" applyFont="1" applyFill="1" applyAlignment="1">
      <alignment horizontal="center" vertical="center"/>
    </xf>
    <xf numFmtId="0" fontId="54" fillId="25" borderId="0" xfId="0" applyFont="1" applyFill="1">
      <alignment vertical="center"/>
    </xf>
    <xf numFmtId="0" fontId="60" fillId="25" borderId="0" xfId="0" applyFont="1" applyFill="1" applyAlignment="1">
      <alignment vertical="center" wrapText="1"/>
    </xf>
    <xf numFmtId="0" fontId="54" fillId="25" borderId="0" xfId="0" applyFont="1" applyFill="1" applyAlignment="1">
      <alignment vertical="center" wrapText="1"/>
    </xf>
    <xf numFmtId="0" fontId="60" fillId="25" borderId="0" xfId="0" applyFont="1" applyFill="1" applyAlignment="1">
      <alignment horizontal="left" vertical="center"/>
    </xf>
    <xf numFmtId="0" fontId="47" fillId="25" borderId="0" xfId="0" applyFont="1" applyFill="1" applyAlignment="1">
      <alignment horizontal="left" vertical="center" wrapText="1"/>
    </xf>
    <xf numFmtId="0" fontId="81" fillId="0" borderId="0" xfId="0" applyFont="1">
      <alignment vertical="center"/>
    </xf>
    <xf numFmtId="0" fontId="51" fillId="0" borderId="92" xfId="0" applyFont="1" applyBorder="1" applyAlignment="1">
      <alignment horizontal="center" vertical="center" wrapText="1"/>
    </xf>
    <xf numFmtId="0" fontId="52" fillId="25" borderId="18" xfId="0" applyFont="1" applyFill="1" applyBorder="1">
      <alignment vertical="center"/>
    </xf>
    <xf numFmtId="0" fontId="62" fillId="25" borderId="0" xfId="0" applyFont="1" applyFill="1">
      <alignment vertical="center"/>
    </xf>
    <xf numFmtId="0" fontId="45" fillId="25" borderId="163" xfId="0" applyFont="1" applyFill="1" applyBorder="1" applyAlignment="1">
      <alignment horizontal="center" vertical="center"/>
    </xf>
    <xf numFmtId="0" fontId="45" fillId="25" borderId="20" xfId="0" applyFont="1" applyFill="1" applyBorder="1">
      <alignment vertical="center"/>
    </xf>
    <xf numFmtId="176" fontId="45" fillId="25" borderId="0" xfId="0" applyNumberFormat="1" applyFont="1" applyFill="1" applyAlignment="1">
      <alignment vertical="center" wrapText="1"/>
    </xf>
    <xf numFmtId="0" fontId="47" fillId="25" borderId="16" xfId="0" applyFont="1" applyFill="1" applyBorder="1">
      <alignment vertical="center"/>
    </xf>
    <xf numFmtId="0" fontId="45" fillId="25" borderId="70" xfId="0" applyFont="1" applyFill="1" applyBorder="1" applyAlignment="1">
      <alignment horizontal="center" vertical="center"/>
    </xf>
    <xf numFmtId="0" fontId="45" fillId="25" borderId="49" xfId="0" applyFont="1" applyFill="1" applyBorder="1">
      <alignment vertical="center"/>
    </xf>
    <xf numFmtId="176" fontId="45" fillId="25" borderId="49" xfId="0" applyNumberFormat="1" applyFont="1" applyFill="1" applyBorder="1" applyAlignment="1">
      <alignment vertical="center" wrapText="1"/>
    </xf>
    <xf numFmtId="0" fontId="51" fillId="25" borderId="49" xfId="0" applyFont="1" applyFill="1" applyBorder="1">
      <alignment vertical="center"/>
    </xf>
    <xf numFmtId="0" fontId="47" fillId="25" borderId="49" xfId="0" applyFont="1" applyFill="1" applyBorder="1">
      <alignment vertical="center"/>
    </xf>
    <xf numFmtId="0" fontId="47" fillId="25" borderId="61" xfId="0" applyFont="1" applyFill="1" applyBorder="1">
      <alignment vertical="center"/>
    </xf>
    <xf numFmtId="0" fontId="45" fillId="25" borderId="135" xfId="0" applyFont="1" applyFill="1" applyBorder="1" applyAlignment="1">
      <alignment horizontal="center" vertical="center"/>
    </xf>
    <xf numFmtId="0" fontId="45" fillId="25" borderId="127" xfId="0" applyFont="1" applyFill="1" applyBorder="1">
      <alignment vertical="center"/>
    </xf>
    <xf numFmtId="0" fontId="45" fillId="25" borderId="18" xfId="0" applyFont="1" applyFill="1" applyBorder="1" applyAlignment="1">
      <alignment vertical="center" wrapText="1"/>
    </xf>
    <xf numFmtId="176" fontId="45" fillId="25" borderId="18" xfId="0" applyNumberFormat="1" applyFont="1" applyFill="1" applyBorder="1" applyAlignment="1">
      <alignment vertical="center" wrapText="1"/>
    </xf>
    <xf numFmtId="0" fontId="47" fillId="25" borderId="18" xfId="0" applyFont="1" applyFill="1" applyBorder="1">
      <alignment vertical="center"/>
    </xf>
    <xf numFmtId="0" fontId="47" fillId="25" borderId="63" xfId="0" applyFont="1" applyFill="1" applyBorder="1">
      <alignment vertical="center"/>
    </xf>
    <xf numFmtId="0" fontId="30" fillId="0" borderId="0" xfId="0" applyFont="1" applyAlignment="1">
      <alignment vertical="center" wrapText="1"/>
    </xf>
    <xf numFmtId="176" fontId="52" fillId="25" borderId="0" xfId="0" applyNumberFormat="1" applyFont="1" applyFill="1">
      <alignment vertical="center"/>
    </xf>
    <xf numFmtId="0" fontId="62" fillId="25" borderId="0" xfId="0" applyFont="1" applyFill="1" applyAlignment="1">
      <alignment horizontal="left" vertical="center" wrapText="1"/>
    </xf>
    <xf numFmtId="176" fontId="52" fillId="25" borderId="101" xfId="0" applyNumberFormat="1" applyFont="1" applyFill="1" applyBorder="1">
      <alignment vertical="center"/>
    </xf>
    <xf numFmtId="176" fontId="52" fillId="25" borderId="18" xfId="0" applyNumberFormat="1" applyFont="1" applyFill="1" applyBorder="1">
      <alignment vertical="center"/>
    </xf>
    <xf numFmtId="0" fontId="46" fillId="0" borderId="0" xfId="0" applyFont="1" applyAlignment="1">
      <alignment vertical="center" wrapText="1"/>
    </xf>
    <xf numFmtId="0" fontId="45" fillId="25" borderId="60" xfId="0" applyFont="1" applyFill="1" applyBorder="1">
      <alignment vertical="center"/>
    </xf>
    <xf numFmtId="0" fontId="64" fillId="25" borderId="49" xfId="0" applyFont="1" applyFill="1" applyBorder="1" applyAlignment="1">
      <alignment vertical="center" wrapText="1"/>
    </xf>
    <xf numFmtId="0" fontId="62" fillId="25" borderId="16" xfId="0" applyFont="1" applyFill="1" applyBorder="1">
      <alignment vertical="center"/>
    </xf>
    <xf numFmtId="0" fontId="45" fillId="0" borderId="62" xfId="0" applyFont="1" applyBorder="1" applyAlignment="1">
      <alignment horizontal="center" vertical="center"/>
    </xf>
    <xf numFmtId="0" fontId="45" fillId="25" borderId="62" xfId="0" applyFont="1" applyFill="1" applyBorder="1" applyAlignment="1">
      <alignment vertical="center" wrapText="1"/>
    </xf>
    <xf numFmtId="0" fontId="47" fillId="25" borderId="19" xfId="0" applyFont="1" applyFill="1" applyBorder="1">
      <alignment vertical="center"/>
    </xf>
    <xf numFmtId="0" fontId="51" fillId="25" borderId="0" xfId="0" applyFont="1" applyFill="1" applyAlignment="1">
      <alignment horizontal="left" vertical="center"/>
    </xf>
    <xf numFmtId="0" fontId="52" fillId="0" borderId="0" xfId="0" applyFont="1" applyAlignment="1">
      <alignment horizontal="center" vertical="center"/>
    </xf>
    <xf numFmtId="0" fontId="101" fillId="30" borderId="183" xfId="0" applyFont="1" applyFill="1" applyBorder="1" applyAlignment="1">
      <alignment horizontal="center" vertical="center" shrinkToFit="1"/>
    </xf>
    <xf numFmtId="0" fontId="62" fillId="25" borderId="86" xfId="0" applyFont="1" applyFill="1" applyBorder="1">
      <alignment vertical="center"/>
    </xf>
    <xf numFmtId="0" fontId="65" fillId="25" borderId="0" xfId="0" applyFont="1" applyFill="1">
      <alignment vertical="center"/>
    </xf>
    <xf numFmtId="0" fontId="65" fillId="25" borderId="18" xfId="0" applyFont="1" applyFill="1" applyBorder="1">
      <alignment vertical="center"/>
    </xf>
    <xf numFmtId="0" fontId="47" fillId="25" borderId="81" xfId="0" applyFont="1" applyFill="1" applyBorder="1" applyAlignment="1">
      <alignment horizontal="center" vertical="center" wrapText="1"/>
    </xf>
    <xf numFmtId="176" fontId="52" fillId="25" borderId="33" xfId="0" applyNumberFormat="1" applyFont="1" applyFill="1" applyBorder="1">
      <alignment vertical="center"/>
    </xf>
    <xf numFmtId="0" fontId="51" fillId="33" borderId="124" xfId="0" applyFont="1" applyFill="1" applyBorder="1" applyAlignment="1">
      <alignment horizontal="center" vertical="center"/>
    </xf>
    <xf numFmtId="0" fontId="63" fillId="0" borderId="125" xfId="0" applyFont="1" applyBorder="1" applyAlignment="1">
      <alignment horizontal="center" vertical="center"/>
    </xf>
    <xf numFmtId="0" fontId="51" fillId="33" borderId="126" xfId="0" applyFont="1" applyFill="1" applyBorder="1" applyAlignment="1">
      <alignment horizontal="center" vertical="center"/>
    </xf>
    <xf numFmtId="0" fontId="63" fillId="0" borderId="48" xfId="0" applyFont="1" applyBorder="1" applyAlignment="1">
      <alignment horizontal="center" vertical="center"/>
    </xf>
    <xf numFmtId="0" fontId="51" fillId="33" borderId="161" xfId="0" applyFont="1" applyFill="1" applyBorder="1" applyAlignment="1">
      <alignment horizontal="center" vertical="center"/>
    </xf>
    <xf numFmtId="0" fontId="63" fillId="0" borderId="162" xfId="0" applyFont="1" applyBorder="1" applyAlignment="1">
      <alignment horizontal="center" vertical="center"/>
    </xf>
    <xf numFmtId="0" fontId="45" fillId="25" borderId="105" xfId="0" applyFont="1" applyFill="1" applyBorder="1" applyAlignment="1">
      <alignment horizontal="center" vertical="center"/>
    </xf>
    <xf numFmtId="0" fontId="47" fillId="25" borderId="20" xfId="0" applyFont="1" applyFill="1" applyBorder="1" applyAlignment="1">
      <alignment vertical="center" wrapText="1"/>
    </xf>
    <xf numFmtId="0" fontId="57" fillId="0" borderId="0" xfId="0" applyFont="1" applyAlignment="1">
      <alignment vertical="center" wrapText="1"/>
    </xf>
    <xf numFmtId="0" fontId="47" fillId="25" borderId="0" xfId="0" applyFont="1" applyFill="1" applyAlignment="1">
      <alignment horizontal="center" vertical="center" wrapText="1"/>
    </xf>
    <xf numFmtId="0" fontId="50" fillId="30" borderId="102" xfId="0" applyFont="1" applyFill="1" applyBorder="1" applyAlignment="1">
      <alignment vertical="center" wrapText="1"/>
    </xf>
    <xf numFmtId="0" fontId="101" fillId="30" borderId="183" xfId="0" applyFont="1" applyFill="1" applyBorder="1" applyAlignment="1">
      <alignment horizontal="center" vertical="center"/>
    </xf>
    <xf numFmtId="0" fontId="82" fillId="0" borderId="0" xfId="0" applyFont="1">
      <alignment vertical="center"/>
    </xf>
    <xf numFmtId="0" fontId="62" fillId="0" borderId="0" xfId="0" applyFont="1">
      <alignment vertical="center"/>
    </xf>
    <xf numFmtId="0" fontId="47" fillId="0" borderId="0" xfId="0" applyFont="1" applyAlignment="1">
      <alignment horizontal="left" vertical="top" wrapText="1"/>
    </xf>
    <xf numFmtId="0" fontId="45" fillId="25" borderId="40" xfId="0" applyFont="1" applyFill="1" applyBorder="1">
      <alignment vertical="center"/>
    </xf>
    <xf numFmtId="0" fontId="52" fillId="0" borderId="41" xfId="0" applyFont="1" applyBorder="1">
      <alignment vertical="center"/>
    </xf>
    <xf numFmtId="0" fontId="52" fillId="25" borderId="41" xfId="0" applyFont="1" applyFill="1" applyBorder="1">
      <alignment vertical="center"/>
    </xf>
    <xf numFmtId="0" fontId="47" fillId="25" borderId="41" xfId="0" applyFont="1" applyFill="1" applyBorder="1">
      <alignment vertical="center"/>
    </xf>
    <xf numFmtId="0" fontId="47" fillId="25" borderId="41" xfId="0" applyFont="1" applyFill="1" applyBorder="1" applyAlignment="1">
      <alignment vertical="center" wrapText="1"/>
    </xf>
    <xf numFmtId="0" fontId="51" fillId="25" borderId="42" xfId="0" applyFont="1" applyFill="1" applyBorder="1" applyAlignment="1">
      <alignment horizontal="center" vertical="center"/>
    </xf>
    <xf numFmtId="177" fontId="30" fillId="0" borderId="0" xfId="0" applyNumberFormat="1" applyFont="1">
      <alignment vertical="center"/>
    </xf>
    <xf numFmtId="180" fontId="30" fillId="0" borderId="0" xfId="0" applyNumberFormat="1" applyFont="1">
      <alignment vertical="center"/>
    </xf>
    <xf numFmtId="0" fontId="53" fillId="0" borderId="0" xfId="0" applyFont="1">
      <alignment vertical="center"/>
    </xf>
    <xf numFmtId="0" fontId="51" fillId="33" borderId="166" xfId="0" applyFont="1" applyFill="1" applyBorder="1" applyAlignment="1">
      <alignment horizontal="center" vertical="center"/>
    </xf>
    <xf numFmtId="0" fontId="51" fillId="33" borderId="167" xfId="0" applyFont="1" applyFill="1" applyBorder="1" applyAlignment="1">
      <alignment horizontal="center" vertical="center"/>
    </xf>
    <xf numFmtId="0" fontId="45" fillId="25" borderId="0" xfId="0" applyFont="1" applyFill="1" applyAlignment="1">
      <alignment vertical="top"/>
    </xf>
    <xf numFmtId="177" fontId="30" fillId="25" borderId="0" xfId="0" applyNumberFormat="1" applyFont="1" applyFill="1">
      <alignment vertical="center"/>
    </xf>
    <xf numFmtId="0" fontId="45" fillId="25" borderId="160" xfId="0" applyFont="1" applyFill="1" applyBorder="1">
      <alignment vertical="center"/>
    </xf>
    <xf numFmtId="0" fontId="51" fillId="33" borderId="168" xfId="0" applyFont="1" applyFill="1" applyBorder="1" applyAlignment="1">
      <alignment horizontal="center" vertical="center"/>
    </xf>
    <xf numFmtId="0" fontId="47" fillId="25" borderId="86" xfId="0" applyFont="1" applyFill="1" applyBorder="1">
      <alignment vertical="center"/>
    </xf>
    <xf numFmtId="0" fontId="45" fillId="25" borderId="86" xfId="0" applyFont="1" applyFill="1" applyBorder="1" applyAlignment="1">
      <alignment vertical="top"/>
    </xf>
    <xf numFmtId="0" fontId="45" fillId="25" borderId="159" xfId="0" applyFont="1" applyFill="1" applyBorder="1">
      <alignment vertical="center"/>
    </xf>
    <xf numFmtId="0" fontId="30" fillId="25" borderId="0" xfId="0" applyFont="1" applyFill="1" applyAlignment="1">
      <alignment horizontal="left" vertical="top" wrapText="1"/>
    </xf>
    <xf numFmtId="0" fontId="30" fillId="25" borderId="0" xfId="0" applyFont="1" applyFill="1" applyAlignment="1">
      <alignment horizontal="left" vertical="top"/>
    </xf>
    <xf numFmtId="0" fontId="100" fillId="30" borderId="183" xfId="0" applyFont="1" applyFill="1" applyBorder="1" applyAlignment="1">
      <alignment horizontal="center" vertical="center" shrinkToFit="1"/>
    </xf>
    <xf numFmtId="0" fontId="50" fillId="29" borderId="102" xfId="0" applyFont="1" applyFill="1" applyBorder="1" applyAlignment="1">
      <alignment vertical="center" wrapText="1"/>
    </xf>
    <xf numFmtId="0" fontId="46" fillId="29" borderId="102" xfId="0" applyFont="1" applyFill="1" applyBorder="1" applyAlignment="1">
      <alignment vertical="center" wrapText="1"/>
    </xf>
    <xf numFmtId="49" fontId="45" fillId="25" borderId="18" xfId="0" applyNumberFormat="1" applyFont="1" applyFill="1" applyBorder="1" applyAlignment="1">
      <alignment horizontal="left" vertical="center" wrapText="1"/>
    </xf>
    <xf numFmtId="0" fontId="46" fillId="29" borderId="109" xfId="0" applyFont="1" applyFill="1" applyBorder="1" applyAlignment="1">
      <alignment horizontal="center" vertical="center"/>
    </xf>
    <xf numFmtId="0" fontId="101" fillId="0" borderId="183" xfId="0" applyFont="1" applyBorder="1" applyAlignment="1">
      <alignment horizontal="center" vertical="center" shrinkToFit="1"/>
    </xf>
    <xf numFmtId="0" fontId="47" fillId="33" borderId="73"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52" fillId="25" borderId="0" xfId="0" applyFont="1" applyFill="1" applyAlignment="1">
      <alignment vertical="top"/>
    </xf>
    <xf numFmtId="0" fontId="47" fillId="33" borderId="74" xfId="0" applyFont="1" applyFill="1" applyBorder="1" applyAlignment="1">
      <alignment horizontal="center" vertical="center" wrapText="1"/>
    </xf>
    <xf numFmtId="49" fontId="45" fillId="25" borderId="0" xfId="0" applyNumberFormat="1" applyFont="1" applyFill="1" applyAlignment="1">
      <alignment horizontal="left" vertical="center" wrapText="1"/>
    </xf>
    <xf numFmtId="0" fontId="52" fillId="0" borderId="0" xfId="0" applyFont="1" applyAlignment="1">
      <alignment vertical="top"/>
    </xf>
    <xf numFmtId="0" fontId="38" fillId="25" borderId="0" xfId="0" applyFont="1" applyFill="1" applyAlignment="1">
      <alignment vertical="top"/>
    </xf>
    <xf numFmtId="0" fontId="38" fillId="0" borderId="0" xfId="0" applyFont="1" applyAlignment="1">
      <alignment vertical="top"/>
    </xf>
    <xf numFmtId="0" fontId="41" fillId="0" borderId="0" xfId="0" applyFont="1">
      <alignment vertical="center"/>
    </xf>
    <xf numFmtId="49" fontId="45" fillId="25" borderId="0" xfId="0" applyNumberFormat="1" applyFont="1" applyFill="1" applyAlignment="1">
      <alignment horizontal="center" vertical="center"/>
    </xf>
    <xf numFmtId="49" fontId="34" fillId="25" borderId="0" xfId="0" applyNumberFormat="1" applyFont="1" applyFill="1">
      <alignment vertical="center"/>
    </xf>
    <xf numFmtId="0" fontId="67" fillId="25" borderId="0" xfId="0" applyFont="1" applyFill="1" applyAlignment="1">
      <alignment vertical="center" wrapText="1"/>
    </xf>
    <xf numFmtId="0" fontId="59" fillId="0" borderId="0" xfId="0" applyFont="1">
      <alignment vertical="center"/>
    </xf>
    <xf numFmtId="0" fontId="57" fillId="25" borderId="0" xfId="0" applyFont="1" applyFill="1" applyAlignment="1">
      <alignment horizontal="center" vertical="top"/>
    </xf>
    <xf numFmtId="0" fontId="45" fillId="25" borderId="0" xfId="0" applyFont="1" applyFill="1" applyAlignment="1">
      <alignment horizontal="left" vertical="top"/>
    </xf>
    <xf numFmtId="0" fontId="57" fillId="25" borderId="0" xfId="0" applyFont="1" applyFill="1">
      <alignment vertical="center"/>
    </xf>
    <xf numFmtId="0" fontId="47" fillId="25" borderId="0" xfId="0" applyFont="1" applyFill="1" applyAlignment="1">
      <alignment horizontal="right" vertical="top" wrapText="1"/>
    </xf>
    <xf numFmtId="0" fontId="67" fillId="25" borderId="40" xfId="0" applyFont="1" applyFill="1" applyBorder="1" applyAlignment="1">
      <alignment vertical="center" wrapText="1"/>
    </xf>
    <xf numFmtId="0" fontId="67" fillId="25" borderId="41" xfId="0" applyFont="1" applyFill="1" applyBorder="1" applyAlignment="1">
      <alignment vertical="center" wrapText="1"/>
    </xf>
    <xf numFmtId="0" fontId="67" fillId="25" borderId="42" xfId="0" applyFont="1" applyFill="1" applyBorder="1" applyAlignment="1">
      <alignment vertical="center" wrapText="1"/>
    </xf>
    <xf numFmtId="0" fontId="67" fillId="25" borderId="33" xfId="0" applyFont="1" applyFill="1" applyBorder="1" applyAlignment="1">
      <alignment vertical="center" wrapText="1"/>
    </xf>
    <xf numFmtId="0" fontId="67" fillId="25" borderId="36" xfId="0" applyFont="1" applyFill="1" applyBorder="1" applyAlignment="1">
      <alignment vertical="center" wrapText="1"/>
    </xf>
    <xf numFmtId="0" fontId="67" fillId="25" borderId="33" xfId="0" applyFont="1" applyFill="1" applyBorder="1">
      <alignment vertical="center"/>
    </xf>
    <xf numFmtId="0" fontId="67" fillId="25" borderId="0" xfId="0" applyFont="1" applyFill="1">
      <alignment vertical="center"/>
    </xf>
    <xf numFmtId="0" fontId="67" fillId="25" borderId="0" xfId="0" applyFont="1" applyFill="1" applyAlignment="1">
      <alignment vertical="center" shrinkToFit="1"/>
    </xf>
    <xf numFmtId="0" fontId="67" fillId="25" borderId="36" xfId="0" applyFont="1" applyFill="1" applyBorder="1" applyAlignment="1">
      <alignment vertical="center" shrinkToFit="1"/>
    </xf>
    <xf numFmtId="0" fontId="68" fillId="25" borderId="0" xfId="0" applyFont="1" applyFill="1">
      <alignment vertical="center"/>
    </xf>
    <xf numFmtId="0" fontId="68" fillId="0" borderId="0" xfId="0" applyFont="1">
      <alignment vertical="center"/>
    </xf>
    <xf numFmtId="0" fontId="69" fillId="25" borderId="0" xfId="0" applyFont="1" applyFill="1">
      <alignment vertical="center"/>
    </xf>
    <xf numFmtId="0" fontId="69" fillId="25" borderId="36" xfId="0" applyFont="1" applyFill="1" applyBorder="1">
      <alignment vertical="center"/>
    </xf>
    <xf numFmtId="0" fontId="70" fillId="25" borderId="88" xfId="0" applyFont="1" applyFill="1" applyBorder="1">
      <alignment vertical="center"/>
    </xf>
    <xf numFmtId="0" fontId="68" fillId="25" borderId="86" xfId="0" applyFont="1" applyFill="1" applyBorder="1">
      <alignment vertical="center"/>
    </xf>
    <xf numFmtId="0" fontId="70" fillId="25" borderId="86" xfId="0" applyFont="1" applyFill="1" applyBorder="1">
      <alignment vertical="center"/>
    </xf>
    <xf numFmtId="0" fontId="70" fillId="25" borderId="86" xfId="0" applyFont="1" applyFill="1" applyBorder="1" applyAlignment="1">
      <alignment horizontal="center" vertical="center"/>
    </xf>
    <xf numFmtId="0" fontId="71" fillId="25" borderId="86" xfId="0" applyFont="1" applyFill="1" applyBorder="1" applyAlignment="1">
      <alignment vertical="center" shrinkToFit="1"/>
    </xf>
    <xf numFmtId="0" fontId="68" fillId="25" borderId="86" xfId="0" applyFont="1" applyFill="1" applyBorder="1" applyAlignment="1">
      <alignment horizontal="center" vertical="center"/>
    </xf>
    <xf numFmtId="0" fontId="68" fillId="25" borderId="87" xfId="0" applyFont="1" applyFill="1" applyBorder="1">
      <alignment vertical="center"/>
    </xf>
    <xf numFmtId="0" fontId="70" fillId="25" borderId="0" xfId="0" applyFont="1" applyFill="1">
      <alignment vertical="center"/>
    </xf>
    <xf numFmtId="0" fontId="70" fillId="25" borderId="0" xfId="0" applyFont="1" applyFill="1" applyAlignment="1">
      <alignment horizontal="center" vertical="center"/>
    </xf>
    <xf numFmtId="0" fontId="71" fillId="25" borderId="0" xfId="0" applyFont="1" applyFill="1" applyAlignment="1">
      <alignment vertical="center" shrinkToFit="1"/>
    </xf>
    <xf numFmtId="0" fontId="68" fillId="25" borderId="0" xfId="0" applyFont="1" applyFill="1" applyAlignment="1">
      <alignment horizontal="center" vertical="center"/>
    </xf>
    <xf numFmtId="0" fontId="40" fillId="25" borderId="0" xfId="0" applyFont="1" applyFill="1">
      <alignment vertical="center"/>
    </xf>
    <xf numFmtId="0" fontId="59" fillId="29" borderId="10" xfId="0" applyFont="1" applyFill="1" applyBorder="1" applyAlignment="1">
      <alignment horizontal="center" vertical="center"/>
    </xf>
    <xf numFmtId="0" fontId="30" fillId="0" borderId="70" xfId="0" quotePrefix="1" applyFont="1" applyBorder="1" applyAlignment="1">
      <alignment horizontal="center" vertical="center"/>
    </xf>
    <xf numFmtId="0" fontId="30" fillId="0" borderId="129" xfId="0" quotePrefix="1" applyFont="1" applyBorder="1" applyAlignment="1">
      <alignment horizontal="center" vertical="center"/>
    </xf>
    <xf numFmtId="0" fontId="30" fillId="0" borderId="70" xfId="0" quotePrefix="1" applyFont="1" applyBorder="1">
      <alignment vertical="center"/>
    </xf>
    <xf numFmtId="0" fontId="86" fillId="25" borderId="0" xfId="0" applyFont="1" applyFill="1" applyAlignment="1">
      <alignment vertical="top" wrapText="1"/>
    </xf>
    <xf numFmtId="0" fontId="86" fillId="25" borderId="0" xfId="0" applyFont="1" applyFill="1" applyAlignment="1">
      <alignment vertical="center" wrapText="1"/>
    </xf>
    <xf numFmtId="0" fontId="86"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3" fillId="0" borderId="0" xfId="0" applyFont="1">
      <alignment vertical="center"/>
    </xf>
    <xf numFmtId="0" fontId="43" fillId="0" borderId="0" xfId="0" applyFont="1">
      <alignment vertical="center"/>
    </xf>
    <xf numFmtId="0" fontId="37" fillId="0" borderId="0" xfId="0" applyFont="1">
      <alignment vertical="center"/>
    </xf>
    <xf numFmtId="0" fontId="39" fillId="0" borderId="0" xfId="0" applyFont="1">
      <alignment vertical="center"/>
    </xf>
    <xf numFmtId="0" fontId="42" fillId="0" borderId="0" xfId="0" applyFont="1">
      <alignment vertical="center"/>
    </xf>
    <xf numFmtId="0" fontId="95" fillId="0" borderId="0" xfId="0" applyFont="1">
      <alignment vertical="center"/>
    </xf>
    <xf numFmtId="0" fontId="34" fillId="0" borderId="12" xfId="0" applyFont="1" applyBorder="1" applyAlignment="1">
      <alignment horizontal="center" vertical="center"/>
    </xf>
    <xf numFmtId="0" fontId="37" fillId="0" borderId="0" xfId="0" applyFont="1" applyAlignment="1">
      <alignment horizontal="right" vertical="top" wrapText="1"/>
    </xf>
    <xf numFmtId="0" fontId="0" fillId="0" borderId="0" xfId="0" applyAlignment="1">
      <alignment vertical="center" wrapText="1"/>
    </xf>
    <xf numFmtId="0" fontId="34" fillId="0" borderId="13" xfId="0" applyFont="1" applyBorder="1">
      <alignment vertical="center"/>
    </xf>
    <xf numFmtId="0" fontId="34" fillId="0" borderId="75" xfId="0" applyFont="1" applyBorder="1">
      <alignment vertical="center"/>
    </xf>
    <xf numFmtId="0" fontId="34" fillId="0" borderId="27" xfId="0" applyFont="1" applyBorder="1">
      <alignment vertical="center"/>
    </xf>
    <xf numFmtId="0" fontId="34" fillId="0" borderId="25" xfId="0" applyFont="1" applyBorder="1">
      <alignment vertical="center"/>
    </xf>
    <xf numFmtId="0" fontId="34" fillId="0" borderId="30" xfId="0" applyFont="1" applyBorder="1">
      <alignment vertical="center"/>
    </xf>
    <xf numFmtId="0" fontId="34" fillId="0" borderId="82" xfId="0" applyFont="1" applyBorder="1">
      <alignment vertical="center"/>
    </xf>
    <xf numFmtId="0" fontId="34" fillId="0" borderId="75" xfId="0" applyFont="1" applyBorder="1" applyAlignment="1">
      <alignment vertical="center" shrinkToFit="1"/>
    </xf>
    <xf numFmtId="0" fontId="34" fillId="0" borderId="0" xfId="0" applyFont="1" applyAlignment="1">
      <alignment horizontal="center" vertical="center" wrapText="1"/>
    </xf>
    <xf numFmtId="0" fontId="38" fillId="0" borderId="0" xfId="0" applyFont="1" applyAlignment="1">
      <alignment vertical="top" wrapText="1"/>
    </xf>
    <xf numFmtId="0" fontId="34" fillId="0" borderId="82" xfId="0" applyFont="1" applyBorder="1" applyAlignment="1">
      <alignment horizontal="center" vertical="center"/>
    </xf>
    <xf numFmtId="176" fontId="0" fillId="0" borderId="0" xfId="0" applyNumberFormat="1">
      <alignment vertical="center"/>
    </xf>
    <xf numFmtId="179" fontId="0" fillId="0" borderId="0" xfId="0" applyNumberFormat="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lignment vertical="center" shrinkToFit="1"/>
    </xf>
    <xf numFmtId="0" fontId="49" fillId="25" borderId="0" xfId="0" applyFont="1" applyFill="1" applyAlignment="1">
      <alignment vertical="center" shrinkToFit="1"/>
    </xf>
    <xf numFmtId="0" fontId="49" fillId="25" borderId="0" xfId="0" applyFont="1" applyFill="1">
      <alignment vertical="center"/>
    </xf>
    <xf numFmtId="181" fontId="72" fillId="25" borderId="0" xfId="0" applyNumberFormat="1" applyFont="1" applyFill="1">
      <alignment vertical="center"/>
    </xf>
    <xf numFmtId="0" fontId="112" fillId="25" borderId="10" xfId="0" applyFont="1" applyFill="1" applyBorder="1" applyAlignment="1">
      <alignment horizontal="center" vertical="center"/>
    </xf>
    <xf numFmtId="0" fontId="49" fillId="0" borderId="0" xfId="0" applyFont="1" applyAlignment="1">
      <alignment horizontal="center" vertical="center"/>
    </xf>
    <xf numFmtId="0" fontId="94" fillId="0" borderId="0" xfId="0" applyFont="1">
      <alignment vertical="center"/>
    </xf>
    <xf numFmtId="0" fontId="79" fillId="25" borderId="0" xfId="0" applyFont="1" applyFill="1">
      <alignment vertical="center"/>
    </xf>
    <xf numFmtId="177" fontId="80" fillId="25" borderId="0" xfId="0" applyNumberFormat="1" applyFont="1" applyFill="1">
      <alignment vertical="center"/>
    </xf>
    <xf numFmtId="177" fontId="43" fillId="25" borderId="0" xfId="0" applyNumberFormat="1" applyFont="1" applyFill="1">
      <alignment vertical="center"/>
    </xf>
    <xf numFmtId="181" fontId="49" fillId="25" borderId="0" xfId="0" applyNumberFormat="1" applyFont="1" applyFill="1">
      <alignment vertical="center"/>
    </xf>
    <xf numFmtId="0" fontId="34" fillId="25" borderId="0" xfId="0" applyFont="1" applyFill="1" applyAlignment="1">
      <alignment horizontal="center" vertical="center"/>
    </xf>
    <xf numFmtId="0" fontId="43" fillId="25" borderId="0" xfId="0" applyFont="1" applyFill="1" applyAlignment="1">
      <alignment horizontal="center" vertical="center"/>
    </xf>
    <xf numFmtId="0" fontId="43" fillId="25" borderId="0" xfId="0" applyFont="1" applyFill="1" applyAlignment="1">
      <alignment horizontal="center" vertical="center" shrinkToFit="1"/>
    </xf>
    <xf numFmtId="0" fontId="43" fillId="25" borderId="0" xfId="0" applyFont="1" applyFill="1" applyAlignment="1">
      <alignment horizontal="left" vertical="center" shrinkToFit="1"/>
    </xf>
    <xf numFmtId="0" fontId="43" fillId="25" borderId="0" xfId="0" applyFont="1" applyFill="1" applyAlignment="1">
      <alignment horizontal="left" vertical="center"/>
    </xf>
    <xf numFmtId="177" fontId="49" fillId="25" borderId="102" xfId="0" applyNumberFormat="1" applyFont="1" applyFill="1" applyBorder="1">
      <alignment vertical="center"/>
    </xf>
    <xf numFmtId="0" fontId="38" fillId="25" borderId="11" xfId="0" applyFont="1" applyFill="1" applyBorder="1">
      <alignment vertical="center"/>
    </xf>
    <xf numFmtId="0" fontId="49" fillId="25" borderId="0" xfId="0" applyFont="1" applyFill="1" applyAlignment="1">
      <alignment horizontal="center" vertical="center" shrinkToFit="1"/>
    </xf>
    <xf numFmtId="0" fontId="49" fillId="25" borderId="0" xfId="0" applyFont="1" applyFill="1" applyAlignment="1">
      <alignment horizontal="center" vertical="center"/>
    </xf>
    <xf numFmtId="181" fontId="49" fillId="25" borderId="0" xfId="0" applyNumberFormat="1" applyFont="1" applyFill="1" applyAlignment="1">
      <alignment horizontal="center" vertical="center"/>
    </xf>
    <xf numFmtId="181" fontId="49" fillId="25" borderId="0" xfId="0" applyNumberFormat="1" applyFont="1" applyFill="1" applyAlignment="1">
      <alignment horizontal="left" vertical="center"/>
    </xf>
    <xf numFmtId="0" fontId="96" fillId="0" borderId="0" xfId="0" applyFont="1" applyAlignment="1">
      <alignment horizontal="center" vertical="center" wrapText="1"/>
    </xf>
    <xf numFmtId="177" fontId="72" fillId="25" borderId="102" xfId="0" applyNumberFormat="1" applyFont="1" applyFill="1" applyBorder="1">
      <alignment vertical="center"/>
    </xf>
    <xf numFmtId="0" fontId="38"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9" fillId="25" borderId="0" xfId="0" applyFont="1" applyFill="1" applyAlignment="1">
      <alignment vertical="center" wrapText="1"/>
    </xf>
    <xf numFmtId="182" fontId="72" fillId="0" borderId="102" xfId="0" applyNumberFormat="1" applyFont="1" applyBorder="1">
      <alignment vertical="center"/>
    </xf>
    <xf numFmtId="0" fontId="96" fillId="0" borderId="183" xfId="0" applyFont="1" applyBorder="1" applyAlignment="1">
      <alignment horizontal="center" vertical="center" wrapText="1"/>
    </xf>
    <xf numFmtId="0" fontId="95" fillId="0" borderId="183" xfId="0" applyFont="1" applyBorder="1" applyAlignment="1">
      <alignment horizontal="center" vertical="center"/>
    </xf>
    <xf numFmtId="0" fontId="38" fillId="25" borderId="75" xfId="0" applyFont="1" applyFill="1" applyBorder="1" applyAlignment="1">
      <alignment horizontal="left" vertical="center"/>
    </xf>
    <xf numFmtId="0" fontId="0" fillId="0" borderId="0" xfId="0" applyAlignment="1">
      <alignment vertical="center" shrinkToFit="1"/>
    </xf>
    <xf numFmtId="181" fontId="72"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8" fillId="25" borderId="0" xfId="0" applyNumberFormat="1" applyFont="1" applyFill="1">
      <alignment vertical="center"/>
    </xf>
    <xf numFmtId="0" fontId="95" fillId="0" borderId="0" xfId="0" applyFont="1" applyAlignment="1">
      <alignment horizontal="center" vertical="center"/>
    </xf>
    <xf numFmtId="0" fontId="72" fillId="25" borderId="0" xfId="0" applyFont="1" applyFill="1" applyAlignment="1">
      <alignment horizontal="left" vertical="center" shrinkToFit="1"/>
    </xf>
    <xf numFmtId="0" fontId="72" fillId="25" borderId="0" xfId="0" applyFont="1" applyFill="1" applyAlignment="1">
      <alignment horizontal="left" vertical="center" wrapText="1"/>
    </xf>
    <xf numFmtId="182" fontId="38" fillId="25" borderId="0" xfId="0" applyNumberFormat="1" applyFont="1" applyFill="1" applyAlignment="1">
      <alignment horizontal="right" vertical="center"/>
    </xf>
    <xf numFmtId="0" fontId="0" fillId="25" borderId="0" xfId="0" applyFill="1" applyAlignment="1">
      <alignment vertical="center" wrapText="1"/>
    </xf>
    <xf numFmtId="181" fontId="49" fillId="25" borderId="0" xfId="0" applyNumberFormat="1" applyFont="1" applyFill="1" applyAlignment="1">
      <alignment horizontal="right" vertical="center"/>
    </xf>
    <xf numFmtId="0" fontId="83" fillId="29" borderId="109" xfId="0" applyFont="1" applyFill="1" applyBorder="1" applyAlignment="1">
      <alignment horizontal="center" vertical="center" shrinkToFit="1"/>
    </xf>
    <xf numFmtId="0" fontId="83" fillId="30" borderId="102" xfId="0" applyFont="1" applyFill="1" applyBorder="1" applyAlignment="1">
      <alignment horizontal="center" vertical="center" shrinkToFit="1"/>
    </xf>
    <xf numFmtId="0" fontId="83" fillId="29" borderId="102" xfId="0" applyFont="1" applyFill="1" applyBorder="1" applyAlignment="1">
      <alignment horizontal="center" vertical="center"/>
    </xf>
    <xf numFmtId="0" fontId="38" fillId="0" borderId="102" xfId="0" applyFont="1" applyBorder="1" applyAlignment="1">
      <alignment vertical="center" wrapText="1"/>
    </xf>
    <xf numFmtId="0" fontId="49" fillId="25" borderId="103" xfId="0" applyFont="1" applyFill="1" applyBorder="1" applyAlignment="1">
      <alignment horizontal="center" vertical="center" wrapText="1"/>
    </xf>
    <xf numFmtId="0" fontId="72" fillId="0" borderId="21" xfId="0" applyFont="1" applyBorder="1" applyAlignment="1">
      <alignment horizontal="center" vertical="center" wrapText="1"/>
    </xf>
    <xf numFmtId="0" fontId="49" fillId="25" borderId="28" xfId="0" applyFont="1" applyFill="1" applyBorder="1" applyAlignment="1">
      <alignment horizontal="center" vertical="center" wrapText="1" shrinkToFit="1"/>
    </xf>
    <xf numFmtId="0" fontId="49" fillId="25" borderId="156" xfId="0" applyFont="1" applyFill="1" applyBorder="1" applyAlignment="1">
      <alignment horizontal="center" vertical="center" wrapText="1" shrinkToFit="1"/>
    </xf>
    <xf numFmtId="0" fontId="49" fillId="25" borderId="145" xfId="0" applyFont="1" applyFill="1" applyBorder="1" applyAlignment="1">
      <alignment horizontal="center" vertical="center" wrapText="1"/>
    </xf>
    <xf numFmtId="181" fontId="49" fillId="25" borderId="155" xfId="0" applyNumberFormat="1" applyFont="1" applyFill="1" applyBorder="1" applyAlignment="1">
      <alignment horizontal="center" vertical="center" wrapText="1"/>
    </xf>
    <xf numFmtId="181" fontId="72" fillId="0" borderId="50" xfId="0" applyNumberFormat="1" applyFont="1" applyBorder="1" applyAlignment="1">
      <alignment horizontal="center" vertical="center" wrapText="1"/>
    </xf>
    <xf numFmtId="0" fontId="72" fillId="0" borderId="28"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146" xfId="0" applyFont="1" applyBorder="1" applyAlignment="1">
      <alignment horizontal="center" vertical="center" wrapText="1"/>
    </xf>
    <xf numFmtId="0" fontId="38" fillId="0" borderId="0" xfId="0" applyFont="1" applyAlignment="1">
      <alignment horizontal="center" vertical="center" wrapText="1"/>
    </xf>
    <xf numFmtId="0" fontId="95" fillId="0" borderId="183" xfId="0" applyFont="1" applyBorder="1" applyAlignment="1">
      <alignment vertical="center" wrapText="1"/>
    </xf>
    <xf numFmtId="0" fontId="95" fillId="0" borderId="186" xfId="0" applyFont="1" applyBorder="1" applyAlignment="1">
      <alignment vertical="center" wrapText="1"/>
    </xf>
    <xf numFmtId="0" fontId="95" fillId="0" borderId="185" xfId="0" applyFont="1" applyBorder="1" applyAlignment="1">
      <alignment vertical="center" wrapText="1"/>
    </xf>
    <xf numFmtId="0" fontId="95" fillId="0" borderId="184" xfId="0" applyFont="1" applyBorder="1" applyAlignment="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lignment vertical="center"/>
    </xf>
    <xf numFmtId="0" fontId="43" fillId="25" borderId="23" xfId="0" applyFont="1" applyFill="1" applyBorder="1" applyAlignment="1">
      <alignment horizontal="center" vertical="center"/>
    </xf>
    <xf numFmtId="0" fontId="34" fillId="25" borderId="23" xfId="0" applyFont="1" applyFill="1" applyBorder="1">
      <alignment vertical="center"/>
    </xf>
    <xf numFmtId="0" fontId="34" fillId="25" borderId="23" xfId="0" applyFont="1" applyFill="1" applyBorder="1" applyAlignment="1">
      <alignment horizontal="center" vertical="center"/>
    </xf>
    <xf numFmtId="181" fontId="49" fillId="0" borderId="103" xfId="0" applyNumberFormat="1" applyFont="1" applyBorder="1">
      <alignment vertical="center"/>
    </xf>
    <xf numFmtId="181" fontId="49" fillId="0" borderId="21" xfId="0" applyNumberFormat="1" applyFont="1" applyBorder="1" applyAlignment="1">
      <alignment horizontal="right" vertical="center"/>
    </xf>
    <xf numFmtId="181" fontId="49" fillId="0" borderId="176" xfId="0" applyNumberFormat="1" applyFont="1" applyBorder="1">
      <alignment vertical="center"/>
    </xf>
    <xf numFmtId="0" fontId="0" fillId="0" borderId="111" xfId="0" applyBorder="1" applyAlignment="1">
      <alignment vertical="center" wrapText="1"/>
    </xf>
    <xf numFmtId="0" fontId="94" fillId="0" borderId="183" xfId="0" applyFont="1" applyBorder="1">
      <alignment vertical="center"/>
    </xf>
    <xf numFmtId="0" fontId="95" fillId="0" borderId="183" xfId="0" applyFont="1" applyBorder="1">
      <alignment vertical="center"/>
    </xf>
    <xf numFmtId="0" fontId="95" fillId="0" borderId="186" xfId="0" applyFont="1" applyBorder="1">
      <alignment vertical="center"/>
    </xf>
    <xf numFmtId="0" fontId="95" fillId="0" borderId="185" xfId="0" applyFont="1" applyBorder="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lignment horizontal="center" vertical="center"/>
    </xf>
    <xf numFmtId="0" fontId="34" fillId="25" borderId="35" xfId="0" applyFont="1" applyFill="1" applyBorder="1">
      <alignment vertical="center"/>
    </xf>
    <xf numFmtId="0" fontId="34" fillId="25" borderId="35" xfId="0" applyFont="1" applyFill="1" applyBorder="1" applyAlignment="1">
      <alignment horizontal="center" vertical="center"/>
    </xf>
    <xf numFmtId="181" fontId="49" fillId="0" borderId="17" xfId="0" applyNumberFormat="1" applyFont="1" applyBorder="1">
      <alignment vertical="center"/>
    </xf>
    <xf numFmtId="181" fontId="49" fillId="0" borderId="92" xfId="0" applyNumberFormat="1" applyFont="1" applyBorder="1" applyAlignment="1">
      <alignment horizontal="right" vertical="center"/>
    </xf>
    <xf numFmtId="181" fontId="49" fillId="0" borderId="178" xfId="0" applyNumberFormat="1" applyFont="1" applyBorder="1">
      <alignment vertical="center"/>
    </xf>
    <xf numFmtId="0" fontId="0" fillId="0" borderId="112" xfId="0" applyBorder="1" applyAlignment="1">
      <alignment vertical="center" wrapText="1"/>
    </xf>
    <xf numFmtId="0" fontId="38" fillId="0" borderId="0" xfId="0" applyFont="1" applyAlignment="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lignment vertical="center"/>
    </xf>
    <xf numFmtId="0" fontId="43" fillId="25" borderId="46" xfId="0" applyFont="1" applyFill="1" applyBorder="1" applyAlignment="1">
      <alignment horizontal="center" vertical="center"/>
    </xf>
    <xf numFmtId="0" fontId="51" fillId="25" borderId="46" xfId="0" applyFont="1" applyFill="1" applyBorder="1">
      <alignment vertical="center"/>
    </xf>
    <xf numFmtId="0" fontId="34" fillId="25" borderId="46" xfId="0" applyFont="1" applyFill="1" applyBorder="1">
      <alignment vertical="center"/>
    </xf>
    <xf numFmtId="0" fontId="34" fillId="25" borderId="46" xfId="0" applyFont="1" applyFill="1" applyBorder="1" applyAlignment="1">
      <alignment horizontal="center" vertical="center"/>
    </xf>
    <xf numFmtId="181" fontId="49" fillId="0" borderId="155" xfId="0" applyNumberFormat="1" applyFont="1" applyBorder="1">
      <alignment vertical="center"/>
    </xf>
    <xf numFmtId="181" fontId="49" fillId="0" borderId="146" xfId="0" applyNumberFormat="1" applyFont="1" applyBorder="1" applyAlignment="1">
      <alignment horizontal="right" vertical="center"/>
    </xf>
    <xf numFmtId="181" fontId="49" fillId="0" borderId="160" xfId="0" applyNumberFormat="1" applyFont="1" applyBorder="1">
      <alignment vertical="center"/>
    </xf>
    <xf numFmtId="0" fontId="0" fillId="0" borderId="113" xfId="0" applyBorder="1" applyAlignment="1">
      <alignment vertical="center" wrapText="1"/>
    </xf>
    <xf numFmtId="0" fontId="94" fillId="0" borderId="189" xfId="0" applyFont="1" applyBorder="1">
      <alignment vertical="center"/>
    </xf>
    <xf numFmtId="38" fontId="95" fillId="0" borderId="0" xfId="34" applyFont="1" applyFill="1" applyAlignment="1" applyProtection="1">
      <alignment horizontal="right" vertical="center"/>
    </xf>
    <xf numFmtId="0" fontId="95" fillId="0" borderId="0" xfId="0" applyFont="1" applyAlignment="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lignment vertical="center"/>
    </xf>
    <xf numFmtId="0" fontId="43" fillId="25" borderId="18" xfId="0" applyFont="1" applyFill="1" applyBorder="1" applyAlignment="1">
      <alignment horizontal="center" vertical="center"/>
    </xf>
    <xf numFmtId="0" fontId="34" fillId="25" borderId="18" xfId="0" applyFont="1" applyFill="1" applyBorder="1">
      <alignment vertical="center"/>
    </xf>
    <xf numFmtId="0" fontId="34" fillId="25" borderId="18" xfId="0" applyFont="1" applyFill="1" applyBorder="1" applyAlignment="1">
      <alignment horizontal="center" vertical="center"/>
    </xf>
    <xf numFmtId="0" fontId="51" fillId="25" borderId="14" xfId="0" applyFont="1" applyFill="1" applyBorder="1">
      <alignment vertical="center"/>
    </xf>
    <xf numFmtId="0" fontId="43" fillId="25" borderId="20" xfId="0" applyFont="1" applyFill="1" applyBorder="1" applyAlignment="1">
      <alignment horizontal="center" vertical="center"/>
    </xf>
    <xf numFmtId="0" fontId="34" fillId="25" borderId="20" xfId="0" applyFont="1" applyFill="1" applyBorder="1">
      <alignment vertical="center"/>
    </xf>
    <xf numFmtId="0" fontId="34" fillId="25" borderId="20" xfId="0" applyFont="1" applyFill="1" applyBorder="1" applyAlignment="1">
      <alignment horizontal="center" vertical="center"/>
    </xf>
    <xf numFmtId="0" fontId="110" fillId="0" borderId="0" xfId="0" applyFont="1" applyAlignment="1">
      <alignment vertical="center" shrinkToFit="1"/>
    </xf>
    <xf numFmtId="0" fontId="110" fillId="0" borderId="0" xfId="0" applyFont="1">
      <alignment vertical="center"/>
    </xf>
    <xf numFmtId="181" fontId="72" fillId="0" borderId="0" xfId="0" applyNumberFormat="1" applyFont="1">
      <alignment vertical="center"/>
    </xf>
    <xf numFmtId="0" fontId="72" fillId="0" borderId="0" xfId="0" applyFont="1" applyAlignment="1">
      <alignment vertical="center" shrinkToFit="1"/>
    </xf>
    <xf numFmtId="0" fontId="72" fillId="0" borderId="0" xfId="0" applyFont="1">
      <alignment vertical="center"/>
    </xf>
    <xf numFmtId="0" fontId="72" fillId="25" borderId="0" xfId="0" applyFont="1" applyFill="1" applyAlignment="1">
      <alignment vertical="center" shrinkToFit="1"/>
    </xf>
    <xf numFmtId="0" fontId="72" fillId="25" borderId="0" xfId="0" applyFont="1" applyFill="1">
      <alignment vertical="center"/>
    </xf>
    <xf numFmtId="0" fontId="80" fillId="25" borderId="0" xfId="0" applyFont="1" applyFill="1">
      <alignment vertical="center"/>
    </xf>
    <xf numFmtId="0" fontId="105" fillId="25" borderId="0" xfId="0" applyFont="1" applyFill="1">
      <alignment vertical="center"/>
    </xf>
    <xf numFmtId="0" fontId="88" fillId="25" borderId="0" xfId="0" applyFont="1" applyFill="1">
      <alignment vertical="center"/>
    </xf>
    <xf numFmtId="0" fontId="91" fillId="25" borderId="10" xfId="0" applyFont="1" applyFill="1" applyBorder="1" applyAlignment="1">
      <alignment horizontal="center" vertical="center" wrapText="1"/>
    </xf>
    <xf numFmtId="0" fontId="91" fillId="25" borderId="0" xfId="0" applyFont="1" applyFill="1" applyAlignment="1">
      <alignment horizontal="center" vertical="center" wrapText="1"/>
    </xf>
    <xf numFmtId="0" fontId="91" fillId="0" borderId="0" xfId="0" applyFont="1" applyAlignment="1">
      <alignment horizontal="center" vertical="center" wrapText="1"/>
    </xf>
    <xf numFmtId="0" fontId="72" fillId="25" borderId="0" xfId="0" applyFont="1" applyFill="1" applyAlignment="1">
      <alignment horizontal="right" vertical="center"/>
    </xf>
    <xf numFmtId="0" fontId="97" fillId="0" borderId="0" xfId="0" applyFont="1" applyAlignment="1">
      <alignment vertical="center" wrapText="1"/>
    </xf>
    <xf numFmtId="0" fontId="72" fillId="25" borderId="0" xfId="0" applyFont="1" applyFill="1" applyAlignment="1">
      <alignment horizontal="center" vertical="center" shrinkToFit="1"/>
    </xf>
    <xf numFmtId="0" fontId="72" fillId="25" borderId="0" xfId="0" applyFont="1" applyFill="1" applyAlignment="1">
      <alignment horizontal="center" vertical="center"/>
    </xf>
    <xf numFmtId="177" fontId="72" fillId="25" borderId="111" xfId="0" applyNumberFormat="1" applyFont="1" applyFill="1" applyBorder="1">
      <alignment vertical="center"/>
    </xf>
    <xf numFmtId="0" fontId="52" fillId="25" borderId="0" xfId="0" applyFont="1" applyFill="1" applyAlignment="1">
      <alignment horizontal="center" vertical="center" wrapText="1"/>
    </xf>
    <xf numFmtId="0" fontId="72" fillId="25" borderId="0" xfId="0" applyFont="1" applyFill="1" applyAlignment="1">
      <alignment horizontal="center" vertical="center" wrapText="1"/>
    </xf>
    <xf numFmtId="0" fontId="39" fillId="0" borderId="0" xfId="0" applyFont="1" applyAlignment="1">
      <alignment vertical="center" wrapText="1"/>
    </xf>
    <xf numFmtId="0" fontId="0" fillId="25" borderId="82" xfId="0" applyFill="1" applyBorder="1" applyAlignment="1">
      <alignment horizontal="left" vertical="center"/>
    </xf>
    <xf numFmtId="177" fontId="72" fillId="25" borderId="112" xfId="0" applyNumberFormat="1" applyFont="1" applyFill="1" applyBorder="1">
      <alignment vertical="center"/>
    </xf>
    <xf numFmtId="0" fontId="72" fillId="25" borderId="0" xfId="0" applyFont="1" applyFill="1" applyAlignment="1">
      <alignment horizontal="left" vertical="center"/>
    </xf>
    <xf numFmtId="0" fontId="38" fillId="25" borderId="0" xfId="0" applyFont="1" applyFill="1" applyAlignment="1">
      <alignment horizontal="left" vertical="center" wrapText="1"/>
    </xf>
    <xf numFmtId="0" fontId="76"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6" fillId="0" borderId="190" xfId="0" applyFont="1" applyBorder="1" applyAlignment="1">
      <alignment vertical="center" wrapText="1"/>
    </xf>
    <xf numFmtId="182" fontId="72" fillId="25" borderId="109" xfId="0" applyNumberFormat="1" applyFont="1" applyFill="1" applyBorder="1">
      <alignment vertical="center"/>
    </xf>
    <xf numFmtId="0" fontId="0" fillId="25" borderId="75" xfId="0" applyFill="1" applyBorder="1" applyAlignment="1">
      <alignment horizontal="left" vertical="center"/>
    </xf>
    <xf numFmtId="177" fontId="72"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2" fillId="25" borderId="0" xfId="0" applyFont="1" applyFill="1" applyAlignment="1">
      <alignment vertical="center" wrapText="1"/>
    </xf>
    <xf numFmtId="182" fontId="72" fillId="25" borderId="113" xfId="0" applyNumberFormat="1" applyFont="1" applyFill="1" applyBorder="1">
      <alignment vertical="center"/>
    </xf>
    <xf numFmtId="177" fontId="72" fillId="25" borderId="113" xfId="0" applyNumberFormat="1" applyFont="1" applyFill="1" applyBorder="1">
      <alignment vertical="center"/>
    </xf>
    <xf numFmtId="182" fontId="72" fillId="25" borderId="0" xfId="0" applyNumberFormat="1" applyFont="1" applyFill="1">
      <alignment vertical="center"/>
    </xf>
    <xf numFmtId="0" fontId="96" fillId="0" borderId="0" xfId="0" applyFont="1" applyAlignment="1">
      <alignment vertical="center" wrapText="1"/>
    </xf>
    <xf numFmtId="0" fontId="106" fillId="25" borderId="0" xfId="0" applyFont="1" applyFill="1">
      <alignment vertical="center"/>
    </xf>
    <xf numFmtId="0" fontId="83" fillId="29" borderId="102" xfId="0" applyFont="1" applyFill="1" applyBorder="1" applyAlignment="1">
      <alignment horizontal="center" vertical="center" shrinkToFit="1"/>
    </xf>
    <xf numFmtId="0" fontId="83" fillId="30" borderId="109" xfId="0" applyFont="1" applyFill="1" applyBorder="1" applyAlignment="1">
      <alignment horizontal="center" vertical="center"/>
    </xf>
    <xf numFmtId="0" fontId="83" fillId="29" borderId="102" xfId="0" applyFont="1" applyFill="1" applyBorder="1" applyAlignment="1">
      <alignment horizontal="center" vertical="center" wrapText="1"/>
    </xf>
    <xf numFmtId="0" fontId="38" fillId="0" borderId="102" xfId="0" applyFont="1" applyBorder="1" applyAlignment="1">
      <alignment horizontal="left" vertical="center" wrapText="1"/>
    </xf>
    <xf numFmtId="0" fontId="72" fillId="0" borderId="34" xfId="0" applyFont="1" applyBorder="1" applyAlignment="1">
      <alignment horizontal="center" vertical="center" wrapText="1"/>
    </xf>
    <xf numFmtId="0" fontId="103" fillId="0" borderId="0" xfId="0" applyFont="1" applyAlignment="1">
      <alignment horizontal="center" vertical="center" wrapText="1"/>
    </xf>
    <xf numFmtId="0" fontId="95" fillId="25" borderId="183" xfId="0" applyFont="1" applyFill="1" applyBorder="1" applyAlignment="1">
      <alignment horizontal="center" vertical="center" wrapText="1"/>
    </xf>
    <xf numFmtId="0" fontId="95" fillId="25" borderId="188"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lignment horizontal="right" vertical="center"/>
    </xf>
    <xf numFmtId="0" fontId="72" fillId="25" borderId="0" xfId="0" applyFont="1" applyFill="1" applyAlignment="1">
      <alignment horizontal="right" vertical="center" wrapText="1"/>
    </xf>
    <xf numFmtId="0" fontId="72" fillId="25" borderId="11" xfId="0" applyFont="1" applyFill="1" applyBorder="1">
      <alignment vertical="center"/>
    </xf>
    <xf numFmtId="182" fontId="72" fillId="25" borderId="109" xfId="0" applyNumberFormat="1" applyFont="1" applyFill="1" applyBorder="1" applyAlignment="1">
      <alignment vertical="center" wrapText="1"/>
    </xf>
    <xf numFmtId="182" fontId="72" fillId="25" borderId="113" xfId="0" applyNumberFormat="1" applyFont="1" applyFill="1" applyBorder="1" applyAlignment="1">
      <alignment vertical="center" wrapText="1"/>
    </xf>
    <xf numFmtId="177" fontId="72" fillId="25" borderId="154" xfId="0" applyNumberFormat="1" applyFont="1" applyFill="1" applyBorder="1">
      <alignment vertical="center"/>
    </xf>
    <xf numFmtId="178" fontId="72" fillId="25" borderId="0" xfId="28" applyNumberFormat="1" applyFont="1" applyFill="1" applyProtection="1">
      <alignment vertical="center"/>
    </xf>
    <xf numFmtId="0" fontId="83" fillId="30" borderId="109" xfId="0" applyFont="1" applyFill="1" applyBorder="1" applyAlignment="1">
      <alignment horizontal="center" vertical="center" shrinkToFit="1"/>
    </xf>
    <xf numFmtId="0" fontId="72" fillId="0" borderId="0" xfId="0" applyFont="1" applyAlignment="1">
      <alignment horizontal="center" vertical="center" wrapText="1"/>
    </xf>
    <xf numFmtId="0" fontId="72" fillId="0" borderId="104"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81" xfId="0" applyFont="1" applyBorder="1" applyAlignment="1">
      <alignment horizontal="center" vertical="center" wrapText="1"/>
    </xf>
    <xf numFmtId="0" fontId="0" fillId="25" borderId="111" xfId="0" applyFill="1" applyBorder="1" applyAlignment="1">
      <alignment vertical="center" wrapText="1"/>
    </xf>
    <xf numFmtId="0" fontId="37" fillId="34" borderId="0" xfId="0" applyFont="1" applyFill="1" applyAlignment="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lignment horizontal="left" vertical="center" wrapText="1"/>
    </xf>
    <xf numFmtId="0" fontId="95" fillId="0" borderId="188" xfId="0" applyFont="1" applyBorder="1">
      <alignment vertical="center"/>
    </xf>
    <xf numFmtId="0" fontId="0" fillId="25" borderId="113" xfId="0" applyFill="1" applyBorder="1" applyAlignment="1">
      <alignment vertical="center" wrapText="1"/>
    </xf>
    <xf numFmtId="0" fontId="95" fillId="0" borderId="187" xfId="0" applyFont="1" applyBorder="1">
      <alignment vertical="center"/>
    </xf>
    <xf numFmtId="177" fontId="43" fillId="0" borderId="0" xfId="0" applyNumberFormat="1" applyFont="1" applyAlignment="1">
      <alignment horizontal="center" vertical="center" wrapText="1"/>
    </xf>
    <xf numFmtId="0" fontId="72" fillId="0" borderId="0" xfId="0" applyFont="1" applyAlignment="1">
      <alignment horizontal="right" vertical="center" wrapText="1"/>
    </xf>
    <xf numFmtId="0" fontId="114" fillId="25" borderId="0" xfId="0" applyFont="1" applyFill="1">
      <alignment vertical="center"/>
    </xf>
    <xf numFmtId="0" fontId="34" fillId="25" borderId="0" xfId="0" applyFont="1" applyFill="1" applyAlignment="1">
      <alignment horizontal="left" vertical="center"/>
    </xf>
    <xf numFmtId="0" fontId="49" fillId="25" borderId="0" xfId="0" applyFont="1" applyFill="1" applyAlignment="1">
      <alignment horizontal="left" vertical="center"/>
    </xf>
    <xf numFmtId="0" fontId="0" fillId="0" borderId="0" xfId="0" applyAlignment="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lignment vertical="center"/>
    </xf>
    <xf numFmtId="176" fontId="49" fillId="0" borderId="22" xfId="0" applyNumberFormat="1" applyFont="1" applyBorder="1">
      <alignment vertical="center"/>
    </xf>
    <xf numFmtId="176" fontId="49" fillId="0" borderId="26" xfId="0" applyNumberFormat="1" applyFont="1" applyBorder="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Alignment="1">
      <alignment horizontal="left"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101" fillId="0" borderId="184" xfId="0" applyFont="1" applyBorder="1" applyAlignment="1" applyProtection="1">
      <alignment horizontal="center" vertical="center"/>
      <protection locked="0"/>
    </xf>
    <xf numFmtId="0" fontId="38"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lignment horizontal="left" vertical="center"/>
    </xf>
    <xf numFmtId="0" fontId="34" fillId="0" borderId="12" xfId="0" applyFont="1" applyBorder="1" applyAlignment="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lignment vertical="center" wrapText="1" shrinkToFit="1"/>
    </xf>
    <xf numFmtId="0" fontId="34" fillId="0" borderId="75" xfId="0" applyFont="1" applyBorder="1" applyAlignment="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lignment horizontal="left" vertical="top" wrapText="1"/>
    </xf>
    <xf numFmtId="0" fontId="43" fillId="0" borderId="0" xfId="0" applyFont="1" applyAlignment="1">
      <alignment horizontal="left" vertical="center" wrapText="1"/>
    </xf>
    <xf numFmtId="0" fontId="34" fillId="0" borderId="32" xfId="0" applyFont="1" applyBorder="1" applyAlignment="1">
      <alignment horizontal="center" vertical="center" wrapText="1"/>
    </xf>
    <xf numFmtId="0" fontId="34" fillId="0" borderId="13" xfId="0" applyFont="1" applyBorder="1" applyAlignment="1">
      <alignment horizontal="center" vertical="center"/>
    </xf>
    <xf numFmtId="0" fontId="34" fillId="0" borderId="82" xfId="0" applyFont="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75" xfId="0" applyFont="1" applyBorder="1" applyAlignment="1">
      <alignment horizontal="center" vertical="center"/>
    </xf>
    <xf numFmtId="0" fontId="34" fillId="0" borderId="20" xfId="0" applyFont="1" applyBorder="1" applyAlignment="1">
      <alignment horizontal="center" vertical="center" wrapText="1"/>
    </xf>
    <xf numFmtId="0" fontId="34" fillId="0" borderId="20" xfId="0" applyFont="1" applyBorder="1" applyAlignment="1">
      <alignment horizontal="center" vertical="center"/>
    </xf>
    <xf numFmtId="0" fontId="34" fillId="0" borderId="15" xfId="0" applyFont="1" applyBorder="1" applyAlignment="1">
      <alignment horizontal="center" vertical="center"/>
    </xf>
    <xf numFmtId="0" fontId="34" fillId="0" borderId="0" xfId="0" applyFont="1" applyAlignment="1">
      <alignment horizontal="center" vertical="center"/>
    </xf>
    <xf numFmtId="0" fontId="34" fillId="0" borderId="16" xfId="0" applyFont="1" applyBorder="1" applyAlignment="1">
      <alignment horizontal="center" vertical="center"/>
    </xf>
    <xf numFmtId="0" fontId="34" fillId="0" borderId="82" xfId="0" applyFont="1" applyBorder="1" applyAlignment="1">
      <alignment horizontal="center" vertical="center" wrapText="1"/>
    </xf>
    <xf numFmtId="0" fontId="34" fillId="0" borderId="14" xfId="0" applyFont="1" applyBorder="1" applyAlignment="1">
      <alignment horizontal="center" vertical="center"/>
    </xf>
    <xf numFmtId="0" fontId="34" fillId="0" borderId="32" xfId="0" applyFont="1" applyBorder="1" applyAlignment="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lignment horizontal="left" vertical="center" wrapText="1"/>
    </xf>
    <xf numFmtId="0" fontId="57" fillId="0" borderId="19" xfId="0" applyFont="1" applyBorder="1" applyAlignment="1">
      <alignment horizontal="left" vertical="center" wrapText="1"/>
    </xf>
    <xf numFmtId="0" fontId="46" fillId="0" borderId="0" xfId="0" applyFont="1" applyAlignment="1">
      <alignment horizontal="left" vertical="center" wrapText="1"/>
    </xf>
    <xf numFmtId="0" fontId="46" fillId="0" borderId="40" xfId="0" applyFont="1" applyBorder="1" applyAlignment="1">
      <alignment horizontal="left" vertical="center" wrapText="1"/>
    </xf>
    <xf numFmtId="0" fontId="46" fillId="0" borderId="41" xfId="0" applyFont="1" applyBorder="1" applyAlignment="1">
      <alignment horizontal="left" vertical="center" wrapText="1"/>
    </xf>
    <xf numFmtId="0" fontId="46" fillId="0" borderId="42" xfId="0" applyFont="1" applyBorder="1" applyAlignment="1">
      <alignment horizontal="left" vertical="center" wrapText="1"/>
    </xf>
    <xf numFmtId="0" fontId="46" fillId="0" borderId="160" xfId="0" applyFont="1" applyBorder="1" applyAlignment="1">
      <alignment horizontal="left" vertical="center" wrapText="1"/>
    </xf>
    <xf numFmtId="0" fontId="46" fillId="0" borderId="157" xfId="0" applyFont="1" applyBorder="1" applyAlignment="1">
      <alignment horizontal="left" vertical="center" wrapText="1"/>
    </xf>
    <xf numFmtId="0" fontId="46" fillId="0" borderId="159" xfId="0" applyFont="1" applyBorder="1" applyAlignment="1">
      <alignment horizontal="left" vertical="center" wrapText="1"/>
    </xf>
    <xf numFmtId="0" fontId="67" fillId="25" borderId="0" xfId="0" applyFont="1" applyFill="1" applyAlignment="1">
      <alignment horizontal="left" vertical="center" shrinkToFit="1"/>
    </xf>
    <xf numFmtId="0" fontId="52" fillId="30" borderId="10" xfId="0" applyFont="1" applyFill="1" applyBorder="1" applyAlignment="1">
      <alignment horizontal="center" vertical="center"/>
    </xf>
    <xf numFmtId="0" fontId="67" fillId="25" borderId="0" xfId="0" applyFont="1" applyFill="1" applyAlignment="1">
      <alignment horizontal="center" vertical="center" wrapText="1"/>
    </xf>
    <xf numFmtId="0" fontId="57" fillId="0" borderId="127" xfId="0" applyFont="1" applyBorder="1" applyAlignment="1">
      <alignment horizontal="left" vertical="center"/>
    </xf>
    <xf numFmtId="0" fontId="57" fillId="0" borderId="62" xfId="0" applyFont="1" applyBorder="1" applyAlignment="1">
      <alignment horizontal="left" vertical="center"/>
    </xf>
    <xf numFmtId="0" fontId="57" fillId="0" borderId="63" xfId="0" applyFont="1" applyBorder="1" applyAlignment="1">
      <alignment horizontal="left" vertical="center"/>
    </xf>
    <xf numFmtId="0" fontId="57" fillId="0" borderId="60" xfId="0" applyFont="1" applyBorder="1" applyAlignment="1">
      <alignment horizontal="left" vertical="center"/>
    </xf>
    <xf numFmtId="0" fontId="57" fillId="0" borderId="49" xfId="0" applyFont="1" applyBorder="1" applyAlignment="1">
      <alignment horizontal="left" vertical="center"/>
    </xf>
    <xf numFmtId="0" fontId="57" fillId="0" borderId="61" xfId="0" applyFont="1" applyBorder="1" applyAlignment="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lignment horizontal="center" vertical="center"/>
    </xf>
    <xf numFmtId="0" fontId="30" fillId="0" borderId="70" xfId="0" quotePrefix="1" applyFont="1" applyBorder="1" applyAlignment="1">
      <alignment horizontal="center" vertical="center"/>
    </xf>
    <xf numFmtId="0" fontId="45" fillId="0" borderId="0" xfId="0" applyFont="1" applyAlignment="1">
      <alignment horizontal="left" vertical="top" wrapText="1"/>
    </xf>
    <xf numFmtId="0" fontId="30" fillId="0" borderId="39" xfId="0" quotePrefix="1" applyFont="1" applyBorder="1" applyAlignment="1">
      <alignment horizontal="center" vertical="center"/>
    </xf>
    <xf numFmtId="0" fontId="30" fillId="0" borderId="44" xfId="0" quotePrefix="1" applyFont="1" applyBorder="1" applyAlignment="1">
      <alignment horizontal="center" vertical="center"/>
    </xf>
    <xf numFmtId="0" fontId="30" fillId="0" borderId="107" xfId="0" quotePrefix="1" applyFont="1" applyBorder="1" applyAlignment="1">
      <alignment horizontal="center" vertical="center"/>
    </xf>
    <xf numFmtId="0" fontId="45" fillId="30" borderId="14" xfId="0" applyFont="1" applyFill="1" applyBorder="1" applyAlignment="1">
      <alignment horizontal="center" vertical="center" wrapText="1"/>
    </xf>
    <xf numFmtId="0" fontId="45" fillId="30" borderId="20" xfId="0" applyFont="1" applyFill="1" applyBorder="1" applyAlignment="1">
      <alignment horizontal="center" vertical="center" wrapText="1"/>
    </xf>
    <xf numFmtId="0" fontId="45" fillId="30" borderId="37" xfId="0" applyFont="1" applyFill="1" applyBorder="1" applyAlignment="1">
      <alignment horizontal="center" vertical="center" wrapText="1"/>
    </xf>
    <xf numFmtId="0" fontId="45" fillId="0" borderId="130"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117"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2" xfId="0" applyFont="1" applyBorder="1" applyAlignment="1">
      <alignment horizontal="center" vertical="center" wrapText="1"/>
    </xf>
    <xf numFmtId="0" fontId="57" fillId="0" borderId="57" xfId="0" applyFont="1" applyBorder="1" applyAlignment="1">
      <alignment horizontal="left" vertical="center"/>
    </xf>
    <xf numFmtId="0" fontId="57" fillId="0" borderId="58" xfId="0" applyFont="1" applyBorder="1" applyAlignment="1">
      <alignment horizontal="left" vertical="center"/>
    </xf>
    <xf numFmtId="0" fontId="57" fillId="0" borderId="59" xfId="0" applyFont="1" applyBorder="1" applyAlignment="1">
      <alignment horizontal="left" vertical="center"/>
    </xf>
    <xf numFmtId="0" fontId="57" fillId="0" borderId="58" xfId="0" applyFont="1" applyBorder="1" applyAlignment="1">
      <alignment horizontal="left" vertical="center" wrapText="1"/>
    </xf>
    <xf numFmtId="0" fontId="57" fillId="0" borderId="59" xfId="0" applyFont="1" applyBorder="1" applyAlignment="1">
      <alignment horizontal="left" vertical="center" wrapText="1"/>
    </xf>
    <xf numFmtId="0" fontId="51" fillId="33" borderId="25" xfId="0" applyFont="1" applyFill="1" applyBorder="1" applyAlignment="1">
      <alignment horizontal="center" vertical="center"/>
    </xf>
    <xf numFmtId="0" fontId="51" fillId="33" borderId="31" xfId="0" applyFont="1" applyFill="1" applyBorder="1" applyAlignment="1">
      <alignment horizontal="center" vertical="center"/>
    </xf>
    <xf numFmtId="0" fontId="59" fillId="0" borderId="25" xfId="0" applyFont="1" applyBorder="1" applyAlignment="1">
      <alignment horizontal="left" vertical="center"/>
    </xf>
    <xf numFmtId="0" fontId="59" fillId="0" borderId="30" xfId="0" applyFont="1" applyBorder="1" applyAlignment="1">
      <alignment horizontal="left" vertical="center"/>
    </xf>
    <xf numFmtId="0" fontId="59" fillId="0" borderId="31" xfId="0" applyFont="1" applyBorder="1" applyAlignment="1">
      <alignment horizontal="left" vertical="center"/>
    </xf>
    <xf numFmtId="0" fontId="58" fillId="0" borderId="40" xfId="0" applyFont="1" applyBorder="1" applyAlignment="1">
      <alignment horizontal="left" vertical="center" wrapText="1"/>
    </xf>
    <xf numFmtId="0" fontId="58" fillId="0" borderId="41" xfId="0" applyFont="1" applyBorder="1" applyAlignment="1">
      <alignment horizontal="left" vertical="center" wrapText="1"/>
    </xf>
    <xf numFmtId="0" fontId="58" fillId="0" borderId="42" xfId="0" applyFont="1" applyBorder="1" applyAlignment="1">
      <alignment horizontal="left" vertical="center" wrapText="1"/>
    </xf>
    <xf numFmtId="0" fontId="58" fillId="0" borderId="160" xfId="0" applyFont="1" applyBorder="1" applyAlignment="1">
      <alignment horizontal="left" vertical="center" wrapText="1"/>
    </xf>
    <xf numFmtId="0" fontId="58" fillId="0" borderId="157" xfId="0" applyFont="1" applyBorder="1" applyAlignment="1">
      <alignment horizontal="left" vertical="center" wrapText="1"/>
    </xf>
    <xf numFmtId="0" fontId="58" fillId="0" borderId="159" xfId="0" applyFont="1" applyBorder="1" applyAlignment="1">
      <alignment horizontal="left" vertical="center" wrapText="1"/>
    </xf>
    <xf numFmtId="2" fontId="63" fillId="25" borderId="0" xfId="0" applyNumberFormat="1" applyFont="1" applyFill="1" applyAlignment="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lignment horizontal="left" vertical="center" wrapText="1"/>
    </xf>
    <xf numFmtId="0" fontId="47" fillId="25" borderId="20" xfId="0" applyFont="1" applyFill="1" applyBorder="1" applyAlignment="1">
      <alignment horizontal="left" vertical="center" wrapText="1"/>
    </xf>
    <xf numFmtId="0" fontId="47" fillId="25" borderId="32" xfId="0" applyFont="1" applyFill="1" applyBorder="1" applyAlignment="1">
      <alignment horizontal="left" vertical="center" wrapText="1"/>
    </xf>
    <xf numFmtId="0" fontId="47" fillId="25" borderId="0" xfId="0" applyFont="1" applyFill="1" applyAlignment="1">
      <alignment horizontal="left" vertical="center" wrapText="1"/>
    </xf>
    <xf numFmtId="0" fontId="47" fillId="25" borderId="17" xfId="0" applyFont="1" applyFill="1" applyBorder="1" applyAlignment="1">
      <alignment horizontal="left" vertical="center" wrapText="1"/>
    </xf>
    <xf numFmtId="0" fontId="47" fillId="25" borderId="18" xfId="0" applyFont="1" applyFill="1" applyBorder="1" applyAlignment="1">
      <alignment horizontal="left" vertical="center" wrapText="1"/>
    </xf>
    <xf numFmtId="0" fontId="46" fillId="0" borderId="25" xfId="0" applyFont="1" applyBorder="1" applyAlignment="1">
      <alignment horizontal="left" vertical="center" wrapText="1"/>
    </xf>
    <xf numFmtId="0" fontId="46" fillId="0" borderId="30" xfId="0" applyFont="1" applyBorder="1" applyAlignment="1">
      <alignment horizontal="left" vertical="center" wrapText="1"/>
    </xf>
    <xf numFmtId="0" fontId="46" fillId="0" borderId="31" xfId="0" applyFont="1" applyBorder="1" applyAlignment="1">
      <alignment horizontal="left" vertical="center" wrapText="1"/>
    </xf>
    <xf numFmtId="0" fontId="46" fillId="0" borderId="41" xfId="0" applyFont="1" applyBorder="1" applyAlignment="1">
      <alignment horizontal="left" vertical="center"/>
    </xf>
    <xf numFmtId="0" fontId="46" fillId="0" borderId="42" xfId="0" applyFont="1" applyBorder="1" applyAlignment="1">
      <alignment horizontal="left" vertical="center"/>
    </xf>
    <xf numFmtId="0" fontId="46" fillId="0" borderId="33" xfId="0" applyFont="1" applyBorder="1" applyAlignment="1">
      <alignment horizontal="left" vertical="center"/>
    </xf>
    <xf numFmtId="0" fontId="46" fillId="0" borderId="0" xfId="0" applyFont="1" applyAlignment="1">
      <alignment horizontal="left" vertical="center"/>
    </xf>
    <xf numFmtId="0" fontId="46" fillId="0" borderId="36" xfId="0" applyFont="1" applyBorder="1" applyAlignment="1">
      <alignment horizontal="left" vertical="center"/>
    </xf>
    <xf numFmtId="0" fontId="46" fillId="0" borderId="160" xfId="0" applyFont="1" applyBorder="1" applyAlignment="1">
      <alignment horizontal="left" vertical="center"/>
    </xf>
    <xf numFmtId="0" fontId="46" fillId="0" borderId="157" xfId="0" applyFont="1" applyBorder="1" applyAlignment="1">
      <alignment horizontal="left" vertical="center"/>
    </xf>
    <xf numFmtId="0" fontId="46" fillId="0" borderId="159" xfId="0" applyFont="1" applyBorder="1" applyAlignment="1">
      <alignment horizontal="left" vertical="center"/>
    </xf>
    <xf numFmtId="0" fontId="59" fillId="0" borderId="25" xfId="0" applyFont="1" applyBorder="1" applyAlignment="1">
      <alignment horizontal="left" vertical="center" wrapText="1"/>
    </xf>
    <xf numFmtId="0" fontId="59" fillId="0" borderId="30" xfId="0" applyFont="1" applyBorder="1" applyAlignment="1">
      <alignment horizontal="left" vertical="center" wrapText="1"/>
    </xf>
    <xf numFmtId="0" fontId="59" fillId="0" borderId="31" xfId="0" applyFont="1" applyBorder="1" applyAlignment="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lignment horizontal="left" vertical="center" wrapText="1"/>
    </xf>
    <xf numFmtId="0" fontId="54" fillId="25" borderId="35" xfId="0" applyFont="1" applyFill="1" applyBorder="1" applyAlignment="1">
      <alignment horizontal="left" vertical="center" wrapText="1"/>
    </xf>
    <xf numFmtId="0" fontId="57"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lignment horizontal="left" vertical="center"/>
    </xf>
    <xf numFmtId="0" fontId="51" fillId="25" borderId="15" xfId="0" applyFont="1" applyFill="1" applyBorder="1" applyAlignment="1">
      <alignment horizontal="left" vertical="center"/>
    </xf>
    <xf numFmtId="0" fontId="50" fillId="25" borderId="0" xfId="0" applyFont="1" applyFill="1" applyAlignment="1">
      <alignment horizontal="left" vertical="center" wrapText="1"/>
    </xf>
    <xf numFmtId="0" fontId="50" fillId="25" borderId="0" xfId="0" applyFont="1" applyFill="1" applyAlignment="1">
      <alignment horizontal="left" vertical="center"/>
    </xf>
    <xf numFmtId="0" fontId="45" fillId="25" borderId="35" xfId="0" applyFont="1" applyFill="1" applyBorder="1" applyAlignment="1">
      <alignment horizontal="left" vertical="center" wrapText="1"/>
    </xf>
    <xf numFmtId="0" fontId="51" fillId="25" borderId="35" xfId="0" applyFont="1" applyFill="1" applyBorder="1" applyAlignment="1">
      <alignment horizontal="left" vertical="center" wrapText="1"/>
    </xf>
    <xf numFmtId="0" fontId="51" fillId="25" borderId="11" xfId="0" applyFont="1" applyFill="1" applyBorder="1" applyAlignment="1">
      <alignment horizontal="left" vertical="center" wrapText="1"/>
    </xf>
    <xf numFmtId="176" fontId="34" fillId="25" borderId="14" xfId="0" applyNumberFormat="1" applyFont="1" applyFill="1" applyBorder="1">
      <alignment vertical="center"/>
    </xf>
    <xf numFmtId="176" fontId="34" fillId="25" borderId="20" xfId="0" applyNumberFormat="1" applyFont="1" applyFill="1" applyBorder="1">
      <alignment vertical="center"/>
    </xf>
    <xf numFmtId="0" fontId="51" fillId="25" borderId="35" xfId="0" applyFont="1" applyFill="1" applyBorder="1" applyAlignment="1">
      <alignment horizontal="left" vertical="center"/>
    </xf>
    <xf numFmtId="0" fontId="51" fillId="25" borderId="11" xfId="0" applyFont="1" applyFill="1" applyBorder="1" applyAlignment="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lignment horizontal="left" vertical="center" wrapText="1"/>
    </xf>
    <xf numFmtId="0" fontId="45" fillId="0" borderId="20" xfId="0" applyFont="1" applyBorder="1" applyAlignment="1">
      <alignment horizontal="left" vertical="center" wrapText="1"/>
    </xf>
    <xf numFmtId="0" fontId="45" fillId="0" borderId="37" xfId="0" applyFont="1" applyBorder="1" applyAlignment="1">
      <alignment horizontal="left" vertical="center" wrapText="1"/>
    </xf>
    <xf numFmtId="0" fontId="45" fillId="0" borderId="32" xfId="0" applyFont="1" applyBorder="1" applyAlignment="1">
      <alignment horizontal="left" vertical="center" wrapText="1"/>
    </xf>
    <xf numFmtId="0" fontId="45" fillId="0" borderId="0" xfId="0" applyFont="1" applyAlignment="1">
      <alignment horizontal="left" vertical="center" wrapText="1"/>
    </xf>
    <xf numFmtId="0" fontId="45" fillId="0" borderId="36" xfId="0" applyFont="1" applyBorder="1" applyAlignment="1">
      <alignment horizontal="left"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80" xfId="0" applyFont="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lignment horizontal="left" vertical="center"/>
    </xf>
    <xf numFmtId="0" fontId="67" fillId="25" borderId="0" xfId="0" applyFont="1" applyFill="1" applyAlignment="1">
      <alignment horizontal="left" vertical="center" wrapText="1"/>
    </xf>
    <xf numFmtId="0" fontId="54" fillId="25" borderId="0" xfId="0" applyFont="1" applyFill="1" applyAlignment="1">
      <alignment horizontal="center" vertical="center" shrinkToFit="1"/>
    </xf>
    <xf numFmtId="0" fontId="45" fillId="25" borderId="99" xfId="0" applyFont="1" applyFill="1" applyBorder="1" applyAlignment="1">
      <alignment vertical="center" shrinkToFit="1"/>
    </xf>
    <xf numFmtId="0" fontId="45" fillId="25" borderId="100" xfId="0" applyFont="1" applyFill="1" applyBorder="1" applyAlignment="1">
      <alignment vertical="center" shrinkToFit="1"/>
    </xf>
    <xf numFmtId="0" fontId="101" fillId="0" borderId="183" xfId="0" applyFont="1" applyBorder="1" applyAlignment="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lignment horizontal="left" vertical="center"/>
    </xf>
    <xf numFmtId="0" fontId="51" fillId="0" borderId="35" xfId="0" applyFont="1" applyBorder="1" applyAlignment="1">
      <alignment horizontal="left" vertical="center"/>
    </xf>
    <xf numFmtId="0" fontId="51" fillId="0" borderId="11" xfId="0" applyFont="1" applyBorder="1" applyAlignment="1">
      <alignment horizontal="left" vertical="center"/>
    </xf>
    <xf numFmtId="0" fontId="45" fillId="0" borderId="12" xfId="0" applyFont="1" applyBorder="1" applyAlignment="1">
      <alignment horizontal="left" vertical="center" wrapText="1"/>
    </xf>
    <xf numFmtId="0" fontId="51" fillId="0" borderId="35" xfId="0" applyFont="1" applyBorder="1" applyAlignment="1">
      <alignment horizontal="left" vertical="center" wrapText="1"/>
    </xf>
    <xf numFmtId="0" fontId="51" fillId="0" borderId="11" xfId="0" applyFont="1" applyBorder="1" applyAlignment="1">
      <alignment horizontal="left" vertical="center" wrapText="1"/>
    </xf>
    <xf numFmtId="0" fontId="46" fillId="0" borderId="25" xfId="0" applyFont="1" applyBorder="1" applyAlignment="1">
      <alignment horizontal="left" vertical="center"/>
    </xf>
    <xf numFmtId="0" fontId="46" fillId="0" borderId="30" xfId="0" applyFont="1" applyBorder="1" applyAlignment="1">
      <alignment horizontal="left" vertical="center"/>
    </xf>
    <xf numFmtId="0" fontId="46" fillId="0" borderId="31" xfId="0" applyFont="1" applyBorder="1" applyAlignment="1">
      <alignment horizontal="left" vertical="center"/>
    </xf>
    <xf numFmtId="0" fontId="45" fillId="0" borderId="103" xfId="0" applyFont="1" applyBorder="1" applyAlignment="1">
      <alignment horizontal="left" vertical="center"/>
    </xf>
    <xf numFmtId="0" fontId="45" fillId="0" borderId="23" xfId="0" applyFont="1" applyBorder="1" applyAlignment="1">
      <alignment horizontal="left" vertical="center"/>
    </xf>
    <xf numFmtId="0" fontId="45" fillId="0" borderId="19" xfId="0" applyFont="1" applyBorder="1" applyAlignment="1">
      <alignment horizontal="left" vertical="center"/>
    </xf>
    <xf numFmtId="0" fontId="51" fillId="25" borderId="23" xfId="0" applyFont="1" applyFill="1" applyBorder="1" applyAlignment="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lignment horizontal="center" vertical="center"/>
    </xf>
    <xf numFmtId="0" fontId="51" fillId="0" borderId="106" xfId="0" applyFont="1" applyBorder="1" applyAlignment="1">
      <alignment horizontal="center" vertical="center"/>
    </xf>
    <xf numFmtId="0" fontId="47" fillId="0" borderId="12" xfId="0" applyFont="1" applyBorder="1" applyAlignment="1">
      <alignment vertical="center" wrapText="1"/>
    </xf>
    <xf numFmtId="0" fontId="47" fillId="0" borderId="35" xfId="0" applyFont="1" applyBorder="1" applyAlignment="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lignment horizontal="left" vertical="center"/>
    </xf>
    <xf numFmtId="0" fontId="45" fillId="0" borderId="35" xfId="0" applyFont="1" applyBorder="1" applyAlignment="1">
      <alignment horizontal="left" vertical="center"/>
    </xf>
    <xf numFmtId="0" fontId="45" fillId="0" borderId="11" xfId="0" applyFont="1" applyBorder="1" applyAlignment="1">
      <alignment horizontal="left" vertical="center"/>
    </xf>
    <xf numFmtId="0" fontId="51" fillId="25" borderId="106" xfId="0" applyFont="1" applyFill="1" applyBorder="1" applyAlignment="1">
      <alignment horizontal="center" vertical="center"/>
    </xf>
    <xf numFmtId="0" fontId="47" fillId="25" borderId="0" xfId="0" applyFont="1" applyFill="1" applyAlignment="1">
      <alignment horizontal="left" vertical="top" wrapText="1"/>
    </xf>
    <xf numFmtId="0" fontId="51" fillId="0" borderId="14" xfId="0" applyFont="1" applyBorder="1" applyAlignment="1">
      <alignment horizontal="left" vertical="center"/>
    </xf>
    <xf numFmtId="0" fontId="51" fillId="0" borderId="20" xfId="0" applyFont="1" applyBorder="1" applyAlignment="1">
      <alignment horizontal="left" vertical="center"/>
    </xf>
    <xf numFmtId="0" fontId="51" fillId="0" borderId="37" xfId="0" applyFont="1" applyBorder="1" applyAlignment="1">
      <alignment horizontal="left" vertical="center"/>
    </xf>
    <xf numFmtId="0" fontId="45" fillId="0" borderId="12" xfId="0" applyFont="1" applyBorder="1" applyAlignment="1">
      <alignment horizontal="center" vertical="center"/>
    </xf>
    <xf numFmtId="0" fontId="45" fillId="0" borderId="35" xfId="0" applyFont="1" applyBorder="1" applyAlignment="1">
      <alignment horizontal="center" vertical="center"/>
    </xf>
    <xf numFmtId="0" fontId="51" fillId="0" borderId="64" xfId="0" applyFont="1" applyBorder="1" applyAlignment="1">
      <alignment horizontal="left" vertical="center"/>
    </xf>
    <xf numFmtId="0" fontId="82" fillId="0" borderId="41" xfId="0" applyFont="1" applyBorder="1" applyAlignment="1">
      <alignment horizontal="left" vertical="center" wrapText="1"/>
    </xf>
    <xf numFmtId="0" fontId="82" fillId="0" borderId="42" xfId="0" applyFont="1" applyBorder="1" applyAlignment="1">
      <alignment horizontal="left" vertical="center" wrapText="1"/>
    </xf>
    <xf numFmtId="0" fontId="82" fillId="0" borderId="160" xfId="0" applyFont="1" applyBorder="1" applyAlignment="1">
      <alignment horizontal="left" vertical="center" wrapText="1"/>
    </xf>
    <xf numFmtId="0" fontId="82" fillId="0" borderId="157" xfId="0" applyFont="1" applyBorder="1" applyAlignment="1">
      <alignment horizontal="left" vertical="center" wrapText="1"/>
    </xf>
    <xf numFmtId="0" fontId="82" fillId="0" borderId="159" xfId="0" applyFont="1" applyBorder="1" applyAlignment="1">
      <alignment horizontal="left" vertical="center" wrapText="1"/>
    </xf>
    <xf numFmtId="0" fontId="45" fillId="0" borderId="106" xfId="0" applyFont="1" applyBorder="1" applyAlignment="1">
      <alignment horizontal="left" vertical="center"/>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57" fillId="0" borderId="12" xfId="0" applyFont="1" applyBorder="1" applyAlignment="1">
      <alignment horizontal="left" vertical="center"/>
    </xf>
    <xf numFmtId="0" fontId="57" fillId="0" borderId="35" xfId="0" applyFont="1" applyBorder="1" applyAlignment="1">
      <alignment horizontal="left" vertical="center"/>
    </xf>
    <xf numFmtId="0" fontId="57" fillId="0" borderId="11" xfId="0" applyFont="1" applyBorder="1" applyAlignment="1">
      <alignment horizontal="left" vertical="center"/>
    </xf>
    <xf numFmtId="0" fontId="30" fillId="0" borderId="129" xfId="0" quotePrefix="1" applyFont="1" applyBorder="1" applyAlignment="1">
      <alignment horizontal="center" vertical="center"/>
    </xf>
    <xf numFmtId="0" fontId="57" fillId="0" borderId="170" xfId="0" applyFont="1" applyBorder="1" applyAlignment="1">
      <alignment horizontal="center" vertical="center"/>
    </xf>
    <xf numFmtId="0" fontId="57" fillId="0" borderId="48" xfId="0" applyFont="1" applyBorder="1" applyAlignment="1">
      <alignment horizontal="left" vertical="center"/>
    </xf>
    <xf numFmtId="0" fontId="57" fillId="0" borderId="169" xfId="0" applyFont="1" applyBorder="1" applyAlignment="1">
      <alignment horizontal="left" vertical="center"/>
    </xf>
    <xf numFmtId="0" fontId="57" fillId="0" borderId="170" xfId="0" applyFont="1" applyBorder="1" applyAlignment="1">
      <alignment horizontal="left" vertical="center"/>
    </xf>
    <xf numFmtId="0" fontId="57" fillId="0" borderId="171" xfId="0" applyFont="1" applyBorder="1" applyAlignment="1">
      <alignment horizontal="left" vertical="center"/>
    </xf>
    <xf numFmtId="0" fontId="57" fillId="0" borderId="48" xfId="0" applyFont="1" applyBorder="1" applyAlignment="1">
      <alignment horizontal="left" vertical="center" wrapText="1"/>
    </xf>
    <xf numFmtId="0" fontId="57" fillId="0" borderId="169" xfId="0" applyFont="1" applyBorder="1" applyAlignment="1">
      <alignment horizontal="left" vertical="center" wrapText="1"/>
    </xf>
    <xf numFmtId="0" fontId="62" fillId="30" borderId="25" xfId="0" applyFont="1" applyFill="1" applyBorder="1" applyAlignment="1">
      <alignment horizontal="center" vertical="center" wrapText="1"/>
    </xf>
    <xf numFmtId="0" fontId="62" fillId="30" borderId="30" xfId="0" applyFont="1" applyFill="1" applyBorder="1" applyAlignment="1">
      <alignment horizontal="center" vertical="center" wrapText="1"/>
    </xf>
    <xf numFmtId="0" fontId="62" fillId="30" borderId="31" xfId="0" applyFont="1" applyFill="1" applyBorder="1" applyAlignment="1">
      <alignment horizontal="center" vertical="center" wrapText="1"/>
    </xf>
    <xf numFmtId="49" fontId="50" fillId="0" borderId="0" xfId="0" applyNumberFormat="1" applyFont="1" applyAlignment="1">
      <alignment horizontal="left" vertical="center"/>
    </xf>
    <xf numFmtId="0" fontId="45" fillId="25" borderId="0" xfId="0" applyFont="1" applyFill="1" applyAlignment="1">
      <alignment horizontal="left" vertical="top" wrapText="1"/>
    </xf>
    <xf numFmtId="0" fontId="50" fillId="25" borderId="25" xfId="0" applyFont="1" applyFill="1" applyBorder="1" applyAlignment="1">
      <alignment horizontal="left" vertical="center" wrapText="1"/>
    </xf>
    <xf numFmtId="0" fontId="50" fillId="25" borderId="30" xfId="0" applyFont="1" applyFill="1" applyBorder="1" applyAlignment="1">
      <alignment horizontal="left" vertical="center" wrapText="1"/>
    </xf>
    <xf numFmtId="0" fontId="50" fillId="25" borderId="31" xfId="0" applyFont="1" applyFill="1" applyBorder="1" applyAlignment="1">
      <alignment horizontal="left" vertical="center" wrapText="1"/>
    </xf>
    <xf numFmtId="0" fontId="43" fillId="25" borderId="10" xfId="0" applyFont="1" applyFill="1" applyBorder="1" applyAlignment="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lignment horizontal="center" vertical="center"/>
    </xf>
    <xf numFmtId="0" fontId="51" fillId="25" borderId="58" xfId="0" applyFont="1" applyFill="1" applyBorder="1" applyAlignment="1">
      <alignment horizontal="center" vertical="center"/>
    </xf>
    <xf numFmtId="0" fontId="51" fillId="25" borderId="59" xfId="0" applyFont="1" applyFill="1" applyBorder="1" applyAlignment="1">
      <alignment horizontal="center" vertical="center"/>
    </xf>
    <xf numFmtId="0" fontId="51" fillId="25" borderId="58" xfId="0" applyFont="1" applyFill="1" applyBorder="1" applyAlignment="1">
      <alignment horizontal="left" vertical="center"/>
    </xf>
    <xf numFmtId="0" fontId="51" fillId="25" borderId="59" xfId="0" applyFont="1" applyFill="1" applyBorder="1" applyAlignment="1">
      <alignment horizontal="left" vertical="center"/>
    </xf>
    <xf numFmtId="0" fontId="51" fillId="25" borderId="18" xfId="0" applyFont="1" applyFill="1" applyBorder="1" applyAlignment="1">
      <alignment horizontal="left" vertical="center" wrapText="1"/>
    </xf>
    <xf numFmtId="0" fontId="51" fillId="25" borderId="19" xfId="0" applyFont="1" applyFill="1" applyBorder="1" applyAlignment="1">
      <alignment horizontal="left" vertical="center" wrapText="1"/>
    </xf>
    <xf numFmtId="0" fontId="51" fillId="25" borderId="17" xfId="0" applyFont="1" applyFill="1" applyBorder="1" applyAlignment="1">
      <alignment horizontal="center" vertical="center"/>
    </xf>
    <xf numFmtId="0" fontId="51" fillId="25" borderId="18" xfId="0" applyFont="1" applyFill="1" applyBorder="1" applyAlignment="1">
      <alignment horizontal="center" vertical="center"/>
    </xf>
    <xf numFmtId="0" fontId="51" fillId="25" borderId="19" xfId="0" applyFont="1" applyFill="1" applyBorder="1" applyAlignment="1">
      <alignment horizontal="center" vertical="center"/>
    </xf>
    <xf numFmtId="0" fontId="60" fillId="0" borderId="11" xfId="0" applyFont="1" applyBorder="1" applyAlignment="1">
      <alignment horizontal="left" vertical="center" wrapText="1"/>
    </xf>
    <xf numFmtId="0" fontId="60" fillId="0" borderId="10" xfId="0" applyFont="1" applyBorder="1" applyAlignment="1">
      <alignment horizontal="left" vertical="center" wrapText="1"/>
    </xf>
    <xf numFmtId="0" fontId="49" fillId="25" borderId="0" xfId="0" applyFont="1" applyFill="1" applyAlignment="1">
      <alignment horizontal="center" vertical="center"/>
    </xf>
    <xf numFmtId="0" fontId="30" fillId="25" borderId="0" xfId="0" applyFont="1" applyFill="1" applyAlignment="1">
      <alignment horizontal="left" vertical="top" wrapText="1"/>
    </xf>
    <xf numFmtId="0" fontId="51" fillId="25" borderId="69" xfId="0" applyFont="1" applyFill="1" applyBorder="1">
      <alignment vertical="center"/>
    </xf>
    <xf numFmtId="0" fontId="51" fillId="25" borderId="32" xfId="0" applyFont="1" applyFill="1" applyBorder="1" applyAlignment="1">
      <alignment horizontal="center" vertical="center" wrapText="1"/>
    </xf>
    <xf numFmtId="0" fontId="51" fillId="25" borderId="0" xfId="0" applyFont="1" applyFill="1" applyAlignment="1">
      <alignment horizontal="center" vertical="center" wrapText="1"/>
    </xf>
    <xf numFmtId="0" fontId="51" fillId="25" borderId="16" xfId="0" applyFont="1" applyFill="1" applyBorder="1" applyAlignment="1">
      <alignment horizontal="center" vertical="center" wrapText="1"/>
    </xf>
    <xf numFmtId="0" fontId="51" fillId="25" borderId="10" xfId="0" applyFont="1" applyFill="1" applyBorder="1" applyAlignment="1">
      <alignment horizontal="center" vertical="center"/>
    </xf>
    <xf numFmtId="0" fontId="57" fillId="25" borderId="35" xfId="0" applyFont="1" applyFill="1" applyBorder="1" applyAlignment="1">
      <alignment horizontal="left" vertical="center" wrapText="1"/>
    </xf>
    <xf numFmtId="0" fontId="57" fillId="25" borderId="35" xfId="0" applyFont="1" applyFill="1" applyBorder="1" applyAlignment="1">
      <alignment horizontal="left" vertical="center"/>
    </xf>
    <xf numFmtId="0" fontId="51" fillId="25" borderId="18" xfId="0" applyFont="1" applyFill="1" applyBorder="1" applyAlignment="1">
      <alignment horizontal="left" vertical="center"/>
    </xf>
    <xf numFmtId="0" fontId="51" fillId="25" borderId="19" xfId="0" applyFont="1" applyFill="1" applyBorder="1" applyAlignment="1">
      <alignment horizontal="left" vertical="center"/>
    </xf>
    <xf numFmtId="0" fontId="45" fillId="30" borderId="12" xfId="0" applyFont="1" applyFill="1" applyBorder="1" applyAlignment="1">
      <alignment horizontal="left" vertical="center"/>
    </xf>
    <xf numFmtId="0" fontId="45" fillId="30" borderId="35" xfId="0" applyFont="1" applyFill="1" applyBorder="1" applyAlignment="1">
      <alignment horizontal="left" vertical="center"/>
    </xf>
    <xf numFmtId="0" fontId="45" fillId="30" borderId="11" xfId="0" applyFont="1" applyFill="1" applyBorder="1" applyAlignment="1">
      <alignment horizontal="left" vertical="center"/>
    </xf>
    <xf numFmtId="0" fontId="46" fillId="30" borderId="109" xfId="0" applyFont="1" applyFill="1" applyBorder="1" applyAlignment="1">
      <alignment horizontal="center" vertical="center"/>
    </xf>
    <xf numFmtId="0" fontId="46" fillId="30" borderId="154" xfId="0" applyFont="1" applyFill="1" applyBorder="1" applyAlignment="1">
      <alignment horizontal="center" vertical="center"/>
    </xf>
    <xf numFmtId="0" fontId="57" fillId="25" borderId="11" xfId="0" applyFont="1" applyFill="1" applyBorder="1" applyAlignment="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lignment horizontal="left" vertical="center"/>
    </xf>
    <xf numFmtId="0" fontId="51" fillId="25" borderId="69" xfId="0" applyFont="1" applyFill="1" applyBorder="1" applyAlignment="1">
      <alignment horizontal="left" vertical="center"/>
    </xf>
    <xf numFmtId="0" fontId="51" fillId="25" borderId="192" xfId="0" applyFont="1" applyFill="1" applyBorder="1" applyAlignment="1">
      <alignment horizontal="left" vertical="center"/>
    </xf>
    <xf numFmtId="0" fontId="51" fillId="25" borderId="17" xfId="0" applyFont="1" applyFill="1" applyBorder="1" applyAlignment="1">
      <alignment horizontal="left" vertical="center"/>
    </xf>
    <xf numFmtId="0" fontId="51" fillId="25" borderId="14" xfId="0" applyFont="1" applyFill="1" applyBorder="1" applyAlignment="1">
      <alignment horizontal="center" vertical="center" wrapText="1"/>
    </xf>
    <xf numFmtId="0" fontId="51" fillId="25" borderId="20" xfId="0" applyFont="1" applyFill="1" applyBorder="1" applyAlignment="1">
      <alignment horizontal="center" vertical="center" wrapText="1"/>
    </xf>
    <xf numFmtId="0" fontId="51" fillId="25" borderId="15" xfId="0" applyFont="1" applyFill="1" applyBorder="1" applyAlignment="1">
      <alignment horizontal="center" vertical="center" wrapText="1"/>
    </xf>
    <xf numFmtId="0" fontId="51" fillId="25" borderId="83" xfId="0" applyFont="1" applyFill="1" applyBorder="1" applyAlignment="1">
      <alignment horizontal="center" vertical="center" wrapText="1"/>
    </xf>
    <xf numFmtId="0" fontId="51" fillId="25" borderId="58" xfId="0" applyFont="1" applyFill="1" applyBorder="1" applyAlignment="1">
      <alignment horizontal="center" vertical="center" wrapText="1"/>
    </xf>
    <xf numFmtId="0" fontId="51" fillId="25" borderId="59" xfId="0" applyFont="1" applyFill="1" applyBorder="1" applyAlignment="1">
      <alignment horizontal="center" vertical="center" wrapText="1"/>
    </xf>
    <xf numFmtId="0" fontId="51" fillId="25" borderId="11" xfId="0" applyFont="1" applyFill="1" applyBorder="1" applyAlignment="1">
      <alignment horizontal="center" vertical="center"/>
    </xf>
    <xf numFmtId="0" fontId="57" fillId="25" borderId="11" xfId="0" applyFont="1" applyFill="1" applyBorder="1" applyAlignment="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lignment horizontal="left" vertical="center"/>
    </xf>
    <xf numFmtId="0" fontId="51" fillId="25" borderId="12" xfId="0" applyFont="1" applyFill="1" applyBorder="1" applyAlignment="1">
      <alignment horizontal="center" vertical="center" shrinkToFit="1"/>
    </xf>
    <xf numFmtId="0" fontId="51" fillId="25" borderId="35" xfId="0" applyFont="1" applyFill="1" applyBorder="1" applyAlignment="1">
      <alignment horizontal="center" vertical="center" shrinkToFit="1"/>
    </xf>
    <xf numFmtId="0" fontId="51" fillId="25" borderId="11" xfId="0" applyFont="1" applyFill="1" applyBorder="1" applyAlignment="1">
      <alignment horizontal="center" vertical="center" shrinkToFit="1"/>
    </xf>
    <xf numFmtId="0" fontId="51" fillId="25" borderId="12" xfId="0" applyFont="1" applyFill="1" applyBorder="1" applyAlignment="1">
      <alignment horizontal="center" vertical="center"/>
    </xf>
    <xf numFmtId="0" fontId="51" fillId="25" borderId="35" xfId="0" applyFont="1" applyFill="1" applyBorder="1" applyAlignment="1">
      <alignment horizontal="center" vertical="center"/>
    </xf>
    <xf numFmtId="0" fontId="57" fillId="25" borderId="64" xfId="0" applyFont="1" applyFill="1" applyBorder="1" applyAlignment="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lignment horizontal="center" vertical="center" shrinkToFit="1"/>
    </xf>
    <xf numFmtId="0" fontId="47" fillId="25" borderId="49" xfId="0" applyFont="1" applyFill="1" applyBorder="1" applyAlignment="1">
      <alignment horizontal="left" vertical="center"/>
    </xf>
    <xf numFmtId="0" fontId="47" fillId="25" borderId="52" xfId="0" applyFont="1" applyFill="1" applyBorder="1" applyAlignment="1">
      <alignment horizontal="left" vertical="center"/>
    </xf>
    <xf numFmtId="0" fontId="52" fillId="25" borderId="0" xfId="0" applyFont="1" applyFill="1" applyAlignment="1">
      <alignment horizontal="center" vertical="center"/>
    </xf>
    <xf numFmtId="0" fontId="66" fillId="25" borderId="0" xfId="0" applyFont="1" applyFill="1" applyAlignment="1">
      <alignment horizontal="center" vertical="center"/>
    </xf>
    <xf numFmtId="49" fontId="42" fillId="25" borderId="0" xfId="0" applyNumberFormat="1" applyFont="1" applyFill="1">
      <alignment vertical="center"/>
    </xf>
    <xf numFmtId="0" fontId="45" fillId="25" borderId="12" xfId="0" applyFont="1" applyFill="1" applyBorder="1" applyAlignment="1">
      <alignment horizontal="left" vertical="center" wrapText="1"/>
    </xf>
    <xf numFmtId="0" fontId="38" fillId="27" borderId="25" xfId="0" applyFont="1" applyFill="1" applyBorder="1" applyAlignment="1">
      <alignment horizontal="center" vertical="center" wrapText="1"/>
    </xf>
    <xf numFmtId="0" fontId="38" fillId="27" borderId="31" xfId="0" applyFont="1" applyFill="1" applyBorder="1" applyAlignment="1">
      <alignment horizontal="center" vertical="center" wrapText="1"/>
    </xf>
    <xf numFmtId="0" fontId="60" fillId="0" borderId="35" xfId="0" applyFont="1" applyBorder="1" applyAlignment="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lignment horizontal="center" vertical="center" wrapText="1" shrinkToFit="1"/>
    </xf>
    <xf numFmtId="0" fontId="30" fillId="0" borderId="20" xfId="0" applyFont="1" applyBorder="1" applyAlignment="1">
      <alignment horizontal="center" vertical="center" wrapText="1" shrinkToFit="1"/>
    </xf>
    <xf numFmtId="0" fontId="30" fillId="0" borderId="16" xfId="0" applyFont="1" applyBorder="1" applyAlignment="1">
      <alignment horizontal="center" vertical="center" wrapText="1" shrinkToFit="1"/>
    </xf>
    <xf numFmtId="0" fontId="30" fillId="0" borderId="155" xfId="0" applyFont="1" applyBorder="1" applyAlignment="1">
      <alignment horizontal="center" vertical="center" wrapText="1" shrinkToFit="1"/>
    </xf>
    <xf numFmtId="0" fontId="30" fillId="0" borderId="157" xfId="0" applyFont="1" applyBorder="1" applyAlignment="1">
      <alignment horizontal="center" vertical="center" wrapText="1" shrinkToFit="1"/>
    </xf>
    <xf numFmtId="0" fontId="30" fillId="0" borderId="156" xfId="0" applyFont="1" applyBorder="1" applyAlignment="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lignment horizontal="left" vertical="center" wrapText="1"/>
    </xf>
    <xf numFmtId="0" fontId="47" fillId="0" borderId="20" xfId="0" applyFont="1" applyBorder="1" applyAlignment="1">
      <alignment horizontal="left" vertical="center" wrapText="1"/>
    </xf>
    <xf numFmtId="0" fontId="47" fillId="0" borderId="37" xfId="0" applyFont="1" applyBorder="1" applyAlignment="1">
      <alignment horizontal="lef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80" xfId="0" applyFont="1" applyBorder="1" applyAlignment="1">
      <alignment horizontal="left" vertical="center" wrapText="1"/>
    </xf>
    <xf numFmtId="0" fontId="50" fillId="0" borderId="0" xfId="0" applyFont="1" applyAlignment="1">
      <alignment horizontal="left" vertical="top" wrapText="1"/>
    </xf>
    <xf numFmtId="0" fontId="30" fillId="0" borderId="15" xfId="0" applyFont="1" applyBorder="1" applyAlignment="1">
      <alignment horizontal="center" vertical="center" wrapText="1" shrinkToFit="1"/>
    </xf>
    <xf numFmtId="0" fontId="30" fillId="0" borderId="86" xfId="0" applyFont="1" applyBorder="1" applyAlignment="1">
      <alignment horizontal="center" vertical="center" wrapText="1" shrinkToFit="1"/>
    </xf>
    <xf numFmtId="0" fontId="45" fillId="25" borderId="51" xfId="0" applyFont="1" applyFill="1" applyBorder="1" applyAlignment="1">
      <alignment vertical="center" shrinkToFit="1"/>
    </xf>
    <xf numFmtId="0" fontId="45" fillId="25" borderId="193" xfId="0" applyFont="1" applyFill="1" applyBorder="1" applyAlignment="1">
      <alignment vertical="center" shrinkToFit="1"/>
    </xf>
    <xf numFmtId="0" fontId="46" fillId="29" borderId="109" xfId="0" applyFont="1" applyFill="1" applyBorder="1" applyAlignment="1">
      <alignment horizontal="center" vertical="center"/>
    </xf>
    <xf numFmtId="0" fontId="46" fillId="29" borderId="154" xfId="0" applyFont="1" applyFill="1" applyBorder="1" applyAlignment="1">
      <alignment horizontal="center" vertical="center"/>
    </xf>
    <xf numFmtId="0" fontId="45"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0" xfId="0" applyFont="1" applyAlignment="1">
      <alignment horizontal="center" vertical="center" wrapText="1"/>
    </xf>
    <xf numFmtId="0" fontId="45" fillId="0" borderId="68" xfId="0" applyFont="1" applyBorder="1" applyAlignment="1">
      <alignment horizontal="center" vertical="center" wrapText="1"/>
    </xf>
    <xf numFmtId="0" fontId="45" fillId="0" borderId="69" xfId="0" applyFont="1" applyBorder="1" applyAlignment="1">
      <alignment horizontal="center" vertical="center" wrapText="1"/>
    </xf>
    <xf numFmtId="0" fontId="45" fillId="0" borderId="164" xfId="0" applyFont="1" applyBorder="1" applyAlignment="1">
      <alignment horizontal="left" vertical="center" wrapText="1"/>
    </xf>
    <xf numFmtId="0" fontId="45" fillId="0" borderId="56" xfId="0" applyFont="1" applyBorder="1" applyAlignment="1">
      <alignment horizontal="left" vertical="center" wrapText="1"/>
    </xf>
    <xf numFmtId="0" fontId="45" fillId="0" borderId="53" xfId="0" applyFont="1" applyBorder="1" applyAlignment="1">
      <alignment horizontal="left" vertical="center" wrapText="1"/>
    </xf>
    <xf numFmtId="0" fontId="45" fillId="0" borderId="14" xfId="0" applyFont="1" applyBorder="1" applyAlignment="1">
      <alignment vertical="center" wrapText="1"/>
    </xf>
    <xf numFmtId="0" fontId="45" fillId="0" borderId="20" xfId="0" applyFont="1" applyBorder="1" applyAlignment="1">
      <alignment vertical="center" wrapText="1"/>
    </xf>
    <xf numFmtId="0" fontId="45" fillId="0" borderId="32" xfId="0" applyFont="1" applyBorder="1" applyAlignment="1">
      <alignment vertical="center" wrapText="1"/>
    </xf>
    <xf numFmtId="0" fontId="45" fillId="0" borderId="0" xfId="0" applyFont="1" applyAlignment="1">
      <alignment vertical="center" wrapText="1"/>
    </xf>
    <xf numFmtId="0" fontId="45" fillId="0" borderId="17" xfId="0" applyFont="1" applyBorder="1" applyAlignment="1">
      <alignment vertical="center" wrapText="1"/>
    </xf>
    <xf numFmtId="0" fontId="45" fillId="0" borderId="18" xfId="0" applyFont="1" applyBorder="1" applyAlignment="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lignment horizontal="left" vertical="top" wrapText="1"/>
    </xf>
    <xf numFmtId="0" fontId="45" fillId="0" borderId="18" xfId="0" applyFont="1" applyBorder="1" applyAlignment="1">
      <alignment horizontal="left" vertical="top" wrapText="1"/>
    </xf>
    <xf numFmtId="0" fontId="45" fillId="25" borderId="14" xfId="0" applyFont="1" applyFill="1" applyBorder="1" applyAlignment="1">
      <alignment horizontal="left" vertical="top" wrapText="1"/>
    </xf>
    <xf numFmtId="0" fontId="45" fillId="25" borderId="20" xfId="0" applyFont="1" applyFill="1" applyBorder="1" applyAlignment="1">
      <alignment horizontal="left" vertical="top" wrapText="1"/>
    </xf>
    <xf numFmtId="0" fontId="51" fillId="33" borderId="33" xfId="0" applyFont="1" applyFill="1" applyBorder="1" applyAlignment="1">
      <alignment horizontal="center" vertical="center"/>
    </xf>
    <xf numFmtId="0" fontId="51" fillId="33" borderId="160" xfId="0" applyFont="1" applyFill="1" applyBorder="1" applyAlignment="1">
      <alignment horizontal="center" vertical="center"/>
    </xf>
    <xf numFmtId="0" fontId="0" fillId="25" borderId="32" xfId="0" applyFill="1" applyBorder="1" applyAlignment="1">
      <alignment horizontal="center" vertical="center"/>
    </xf>
    <xf numFmtId="0" fontId="45" fillId="25" borderId="49" xfId="0" applyFont="1" applyFill="1" applyBorder="1" applyAlignment="1">
      <alignment horizontal="left" vertical="center" wrapText="1"/>
    </xf>
    <xf numFmtId="0" fontId="45" fillId="25" borderId="61" xfId="0" applyFont="1" applyFill="1" applyBorder="1" applyAlignment="1">
      <alignment horizontal="left" vertical="center" wrapText="1"/>
    </xf>
    <xf numFmtId="0" fontId="45" fillId="25" borderId="56" xfId="0" applyFont="1" applyFill="1" applyBorder="1" applyAlignment="1">
      <alignment horizontal="left" vertical="center" wrapText="1"/>
    </xf>
    <xf numFmtId="0" fontId="45" fillId="25" borderId="53" xfId="0" applyFont="1" applyFill="1" applyBorder="1" applyAlignment="1">
      <alignment horizontal="left" vertical="center" wrapText="1"/>
    </xf>
    <xf numFmtId="0" fontId="45" fillId="25" borderId="86" xfId="0" applyFont="1" applyFill="1" applyBorder="1" applyAlignment="1">
      <alignment horizontal="left" vertical="center" wrapText="1"/>
    </xf>
    <xf numFmtId="0" fontId="45" fillId="25" borderId="159" xfId="0" applyFont="1" applyFill="1" applyBorder="1" applyAlignment="1">
      <alignment horizontal="left" vertical="center" wrapText="1"/>
    </xf>
    <xf numFmtId="0" fontId="45" fillId="25" borderId="14" xfId="0" applyFont="1" applyFill="1" applyBorder="1" applyAlignment="1">
      <alignment horizontal="center" vertical="center" wrapText="1"/>
    </xf>
    <xf numFmtId="0" fontId="45" fillId="25" borderId="20" xfId="0" applyFont="1" applyFill="1" applyBorder="1" applyAlignment="1">
      <alignment horizontal="center" vertical="center" wrapText="1"/>
    </xf>
    <xf numFmtId="0" fontId="45" fillId="25" borderId="37" xfId="0" applyFont="1" applyFill="1" applyBorder="1" applyAlignment="1">
      <alignment horizontal="center" vertical="center" wrapText="1"/>
    </xf>
    <xf numFmtId="0" fontId="45" fillId="25" borderId="17" xfId="0" applyFont="1" applyFill="1" applyBorder="1" applyAlignment="1">
      <alignment horizontal="center" vertical="center" wrapText="1"/>
    </xf>
    <xf numFmtId="0" fontId="45" fillId="25" borderId="18" xfId="0" applyFont="1" applyFill="1" applyBorder="1" applyAlignment="1">
      <alignment horizontal="center" vertical="center" wrapText="1"/>
    </xf>
    <xf numFmtId="0" fontId="45" fillId="25" borderId="80" xfId="0" applyFont="1" applyFill="1" applyBorder="1" applyAlignment="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lignment horizontal="center" vertical="center" wrapText="1"/>
    </xf>
    <xf numFmtId="49" fontId="45" fillId="30" borderId="35" xfId="0" applyNumberFormat="1" applyFont="1" applyFill="1" applyBorder="1" applyAlignment="1">
      <alignment horizontal="center" vertical="center" wrapText="1"/>
    </xf>
    <xf numFmtId="49" fontId="45" fillId="30" borderId="11" xfId="0" applyNumberFormat="1" applyFont="1" applyFill="1" applyBorder="1" applyAlignment="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lignment horizontal="center" vertical="center" textRotation="255" wrapText="1"/>
    </xf>
    <xf numFmtId="0" fontId="57" fillId="30" borderId="16" xfId="0" applyFont="1" applyFill="1" applyBorder="1" applyAlignment="1">
      <alignment horizontal="center" vertical="center" textRotation="255"/>
    </xf>
    <xf numFmtId="0" fontId="57" fillId="30" borderId="0" xfId="0" applyFont="1" applyFill="1" applyAlignment="1">
      <alignment horizontal="center" vertical="center" textRotation="255"/>
    </xf>
    <xf numFmtId="0" fontId="57" fillId="30" borderId="18" xfId="0" applyFont="1" applyFill="1" applyBorder="1" applyAlignment="1">
      <alignment horizontal="center" vertical="center" textRotation="255"/>
    </xf>
    <xf numFmtId="0" fontId="57" fillId="30" borderId="19" xfId="0" applyFont="1" applyFill="1" applyBorder="1" applyAlignment="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lignment horizontal="center" vertical="center"/>
    </xf>
    <xf numFmtId="0" fontId="45" fillId="25" borderId="107" xfId="0" applyFont="1" applyFill="1" applyBorder="1" applyAlignment="1">
      <alignment horizontal="center" vertical="center"/>
    </xf>
    <xf numFmtId="0" fontId="50" fillId="0" borderId="0" xfId="0" applyFont="1" applyAlignment="1">
      <alignment horizontal="left" vertical="center"/>
    </xf>
    <xf numFmtId="0" fontId="59" fillId="30" borderId="25" xfId="0" applyFont="1" applyFill="1" applyBorder="1" applyAlignment="1">
      <alignment horizontal="center" vertical="center" wrapText="1"/>
    </xf>
    <xf numFmtId="0" fontId="59" fillId="30" borderId="30" xfId="0" applyFont="1" applyFill="1" applyBorder="1" applyAlignment="1">
      <alignment horizontal="center" vertical="center" wrapText="1"/>
    </xf>
    <xf numFmtId="0" fontId="59" fillId="30" borderId="31" xfId="0" applyFont="1" applyFill="1" applyBorder="1" applyAlignment="1">
      <alignment horizontal="center" vertical="center" wrapText="1"/>
    </xf>
    <xf numFmtId="0" fontId="50" fillId="25" borderId="0" xfId="0" applyFont="1" applyFill="1" applyAlignment="1">
      <alignment horizontal="left" vertical="top" wrapText="1"/>
    </xf>
    <xf numFmtId="0" fontId="47" fillId="0" borderId="164" xfId="0" applyFont="1" applyBorder="1" applyAlignment="1">
      <alignment horizontal="left" vertical="center" wrapText="1"/>
    </xf>
    <xf numFmtId="0" fontId="47" fillId="0" borderId="56" xfId="0" applyFont="1" applyBorder="1" applyAlignment="1">
      <alignment horizontal="left" vertical="center" wrapText="1"/>
    </xf>
    <xf numFmtId="0" fontId="47" fillId="0" borderId="53" xfId="0" applyFont="1" applyBorder="1" applyAlignment="1">
      <alignment horizontal="left" vertical="center" wrapText="1"/>
    </xf>
    <xf numFmtId="0" fontId="47" fillId="0" borderId="60" xfId="0" applyFont="1" applyBorder="1" applyAlignment="1">
      <alignment horizontal="left" vertical="center" wrapText="1"/>
    </xf>
    <xf numFmtId="0" fontId="47" fillId="0" borderId="49" xfId="0" applyFont="1" applyBorder="1" applyAlignment="1">
      <alignment horizontal="left" vertical="center" wrapText="1"/>
    </xf>
    <xf numFmtId="0" fontId="47" fillId="0" borderId="52" xfId="0" applyFont="1" applyBorder="1" applyAlignment="1">
      <alignment horizontal="left" vertical="center" wrapText="1"/>
    </xf>
    <xf numFmtId="0" fontId="47" fillId="0" borderId="165" xfId="0" applyFont="1" applyBorder="1" applyAlignment="1">
      <alignment horizontal="left" vertical="center" wrapText="1"/>
    </xf>
    <xf numFmtId="0" fontId="47" fillId="0" borderId="71" xfId="0" applyFont="1" applyBorder="1" applyAlignment="1">
      <alignment horizontal="left" vertical="center" wrapText="1"/>
    </xf>
    <xf numFmtId="0" fontId="47" fillId="0" borderId="72" xfId="0" applyFont="1" applyBorder="1" applyAlignment="1">
      <alignment horizontal="left" vertical="center" wrapText="1"/>
    </xf>
    <xf numFmtId="0" fontId="63" fillId="0" borderId="121" xfId="0" applyFont="1" applyBorder="1" applyAlignment="1">
      <alignment horizontal="center" vertical="center"/>
    </xf>
    <xf numFmtId="0" fontId="63" fillId="0" borderId="68" xfId="0" applyFont="1" applyBorder="1" applyAlignment="1">
      <alignment horizontal="center" vertical="center"/>
    </xf>
    <xf numFmtId="0" fontId="58"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lignment horizontal="left" vertical="center"/>
    </xf>
    <xf numFmtId="0" fontId="45" fillId="25" borderId="20" xfId="0" applyFont="1" applyFill="1" applyBorder="1" applyAlignment="1">
      <alignment horizontal="left" vertical="center"/>
    </xf>
    <xf numFmtId="0" fontId="45" fillId="25" borderId="37" xfId="0" applyFont="1" applyFill="1" applyBorder="1" applyAlignment="1">
      <alignment horizontal="left" vertical="center"/>
    </xf>
    <xf numFmtId="0" fontId="45" fillId="25" borderId="32" xfId="0" applyFont="1" applyFill="1" applyBorder="1" applyAlignment="1">
      <alignment horizontal="left" vertical="center"/>
    </xf>
    <xf numFmtId="0" fontId="45" fillId="25" borderId="0" xfId="0" applyFont="1" applyFill="1" applyAlignment="1">
      <alignment horizontal="left" vertical="center"/>
    </xf>
    <xf numFmtId="0" fontId="45" fillId="25" borderId="36" xfId="0" applyFont="1" applyFill="1" applyBorder="1" applyAlignment="1">
      <alignment horizontal="left" vertical="center"/>
    </xf>
    <xf numFmtId="0" fontId="45" fillId="25" borderId="99" xfId="0" applyFont="1" applyFill="1" applyBorder="1">
      <alignment vertical="center"/>
    </xf>
    <xf numFmtId="0" fontId="45" fillId="25" borderId="100" xfId="0" applyFont="1" applyFill="1" applyBorder="1">
      <alignment vertical="center"/>
    </xf>
    <xf numFmtId="0" fontId="45" fillId="25" borderId="51" xfId="0" applyFont="1" applyFill="1" applyBorder="1">
      <alignment vertical="center"/>
    </xf>
    <xf numFmtId="0" fontId="45" fillId="25" borderId="193" xfId="0" applyFont="1" applyFill="1" applyBorder="1">
      <alignment vertical="center"/>
    </xf>
    <xf numFmtId="0" fontId="45" fillId="0" borderId="38" xfId="0" applyFont="1" applyBorder="1" applyAlignment="1">
      <alignment horizontal="left" vertical="center" wrapText="1"/>
    </xf>
    <xf numFmtId="0" fontId="45" fillId="0" borderId="15" xfId="0" applyFont="1" applyBorder="1" applyAlignment="1">
      <alignment horizontal="left" vertical="center" wrapText="1"/>
    </xf>
    <xf numFmtId="0" fontId="57" fillId="30" borderId="20" xfId="0" applyFont="1" applyFill="1" applyBorder="1" applyAlignment="1">
      <alignment horizontal="center" vertical="center" textRotation="255" wrapText="1"/>
    </xf>
    <xf numFmtId="0" fontId="57" fillId="30" borderId="15" xfId="0" applyFont="1" applyFill="1" applyBorder="1" applyAlignment="1">
      <alignment horizontal="center" vertical="center" textRotation="255"/>
    </xf>
    <xf numFmtId="0" fontId="54" fillId="0" borderId="11" xfId="0" applyFont="1" applyBorder="1" applyAlignment="1">
      <alignment horizontal="left" vertical="center" wrapText="1"/>
    </xf>
    <xf numFmtId="0" fontId="54" fillId="0" borderId="10" xfId="0" applyFont="1" applyBorder="1" applyAlignment="1">
      <alignment horizontal="left" vertical="center" wrapText="1"/>
    </xf>
    <xf numFmtId="0" fontId="54" fillId="0" borderId="12" xfId="0" applyFont="1" applyBorder="1" applyAlignment="1">
      <alignment horizontal="left" vertical="center" wrapText="1"/>
    </xf>
    <xf numFmtId="0" fontId="57" fillId="0" borderId="12" xfId="0" applyFont="1" applyBorder="1" applyAlignment="1">
      <alignment horizontal="left" vertical="center" wrapText="1"/>
    </xf>
    <xf numFmtId="0" fontId="57" fillId="0" borderId="35" xfId="0" applyFont="1" applyBorder="1" applyAlignment="1">
      <alignment horizontal="left" vertical="center" wrapText="1"/>
    </xf>
    <xf numFmtId="0" fontId="57" fillId="0" borderId="11" xfId="0" applyFont="1" applyBorder="1" applyAlignment="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lignment horizontal="center" vertical="center" shrinkToFit="1"/>
    </xf>
    <xf numFmtId="2" fontId="51" fillId="25" borderId="41" xfId="0" applyNumberFormat="1" applyFont="1" applyFill="1" applyBorder="1" applyAlignment="1">
      <alignment horizontal="center" vertical="center" shrinkToFit="1"/>
    </xf>
    <xf numFmtId="2" fontId="51" fillId="25" borderId="42" xfId="0" applyNumberFormat="1" applyFont="1" applyFill="1" applyBorder="1" applyAlignment="1">
      <alignment horizontal="center" vertical="center" shrinkToFit="1"/>
    </xf>
    <xf numFmtId="2" fontId="51" fillId="25" borderId="160" xfId="0" applyNumberFormat="1" applyFont="1" applyFill="1" applyBorder="1" applyAlignment="1">
      <alignment horizontal="center" vertical="center" shrinkToFit="1"/>
    </xf>
    <xf numFmtId="2" fontId="51" fillId="25" borderId="157" xfId="0" applyNumberFormat="1" applyFont="1" applyFill="1" applyBorder="1" applyAlignment="1">
      <alignment horizontal="center" vertical="center" shrinkToFit="1"/>
    </xf>
    <xf numFmtId="2" fontId="51" fillId="25" borderId="159" xfId="0" applyNumberFormat="1" applyFont="1" applyFill="1" applyBorder="1" applyAlignment="1">
      <alignment horizontal="center" vertical="center" shrinkToFit="1"/>
    </xf>
    <xf numFmtId="0" fontId="57" fillId="0" borderId="60" xfId="0" applyFont="1" applyBorder="1" applyAlignment="1">
      <alignment horizontal="center" vertical="center"/>
    </xf>
    <xf numFmtId="0" fontId="57" fillId="0" borderId="49" xfId="0" applyFont="1" applyBorder="1" applyAlignment="1">
      <alignment horizontal="center" vertical="center"/>
    </xf>
    <xf numFmtId="0" fontId="57" fillId="0" borderId="179" xfId="0" applyFont="1" applyBorder="1" applyAlignment="1">
      <alignment horizontal="center" vertical="center"/>
    </xf>
    <xf numFmtId="0" fontId="57" fillId="25" borderId="49" xfId="0" applyFont="1" applyFill="1" applyBorder="1" applyAlignment="1">
      <alignment horizontal="left" vertical="center" wrapText="1"/>
    </xf>
    <xf numFmtId="0" fontId="57" fillId="25" borderId="61" xfId="0" applyFont="1" applyFill="1" applyBorder="1" applyAlignment="1">
      <alignment horizontal="left" vertical="center" wrapText="1"/>
    </xf>
    <xf numFmtId="0" fontId="45" fillId="25" borderId="132" xfId="0" applyFont="1" applyFill="1" applyBorder="1" applyAlignment="1">
      <alignment horizontal="left" vertical="center" wrapText="1"/>
    </xf>
    <xf numFmtId="0" fontId="45" fillId="30" borderId="55" xfId="0" applyFont="1" applyFill="1" applyBorder="1" applyAlignment="1">
      <alignment horizontal="center" vertical="center"/>
    </xf>
    <xf numFmtId="0" fontId="45" fillId="30" borderId="46" xfId="0" applyFont="1" applyFill="1" applyBorder="1" applyAlignment="1">
      <alignment horizontal="center" vertical="center"/>
    </xf>
    <xf numFmtId="0" fontId="45" fillId="30" borderId="47" xfId="0" applyFont="1" applyFill="1" applyBorder="1" applyAlignment="1">
      <alignment horizontal="center" vertical="center"/>
    </xf>
    <xf numFmtId="0" fontId="45" fillId="0" borderId="131" xfId="0" applyFont="1" applyBorder="1" applyAlignment="1">
      <alignment horizontal="center" vertical="center"/>
    </xf>
    <xf numFmtId="0" fontId="45" fillId="0" borderId="71" xfId="0" applyFont="1" applyBorder="1" applyAlignment="1">
      <alignment horizontal="center" vertical="center"/>
    </xf>
    <xf numFmtId="0" fontId="45" fillId="0" borderId="72" xfId="0" applyFont="1" applyBorder="1" applyAlignment="1">
      <alignment horizontal="center" vertical="center"/>
    </xf>
    <xf numFmtId="0" fontId="45" fillId="25" borderId="71" xfId="0" applyFont="1" applyFill="1" applyBorder="1" applyAlignment="1">
      <alignment horizontal="left" vertical="center"/>
    </xf>
    <xf numFmtId="0" fontId="45" fillId="25" borderId="133" xfId="0" applyFont="1" applyFill="1" applyBorder="1" applyAlignment="1">
      <alignment horizontal="left" vertical="center"/>
    </xf>
    <xf numFmtId="0" fontId="51" fillId="25" borderId="12" xfId="0" applyFont="1" applyFill="1" applyBorder="1" applyAlignment="1">
      <alignment horizontal="left" vertical="center" wrapText="1"/>
    </xf>
    <xf numFmtId="49" fontId="45" fillId="30" borderId="14" xfId="0" applyNumberFormat="1" applyFont="1" applyFill="1" applyBorder="1" applyAlignment="1">
      <alignment horizontal="center" vertical="center" wrapText="1"/>
    </xf>
    <xf numFmtId="49" fontId="45" fillId="30" borderId="20" xfId="0" applyNumberFormat="1" applyFont="1" applyFill="1" applyBorder="1" applyAlignment="1">
      <alignment horizontal="center" vertical="center" wrapText="1"/>
    </xf>
    <xf numFmtId="49" fontId="45" fillId="30" borderId="37" xfId="0" applyNumberFormat="1" applyFont="1" applyFill="1" applyBorder="1" applyAlignment="1">
      <alignment horizontal="center" vertical="center" wrapText="1"/>
    </xf>
    <xf numFmtId="0" fontId="47" fillId="25" borderId="0" xfId="0" applyFont="1" applyFill="1" applyAlignment="1">
      <alignment vertical="center" wrapText="1"/>
    </xf>
    <xf numFmtId="2" fontId="51" fillId="25" borderId="25" xfId="0" applyNumberFormat="1" applyFont="1" applyFill="1" applyBorder="1" applyAlignment="1">
      <alignment horizontal="center" vertical="center" shrinkToFit="1"/>
    </xf>
    <xf numFmtId="2" fontId="51" fillId="25" borderId="30" xfId="0" applyNumberFormat="1" applyFont="1" applyFill="1" applyBorder="1" applyAlignment="1">
      <alignment horizontal="center" vertical="center" shrinkToFit="1"/>
    </xf>
    <xf numFmtId="2" fontId="51" fillId="25" borderId="31" xfId="0" applyNumberFormat="1" applyFont="1" applyFill="1" applyBorder="1" applyAlignment="1">
      <alignment horizontal="center" vertical="center" shrinkToFit="1"/>
    </xf>
    <xf numFmtId="0" fontId="45" fillId="0" borderId="117" xfId="0" applyFont="1" applyBorder="1" applyAlignment="1">
      <alignment horizontal="center" vertical="center"/>
    </xf>
    <xf numFmtId="0" fontId="45" fillId="0" borderId="49" xfId="0" applyFont="1" applyBorder="1" applyAlignment="1">
      <alignment horizontal="center" vertical="center"/>
    </xf>
    <xf numFmtId="0" fontId="45" fillId="0" borderId="52" xfId="0" applyFont="1" applyBorder="1" applyAlignment="1">
      <alignment horizontal="center" vertical="center"/>
    </xf>
    <xf numFmtId="0" fontId="57" fillId="25" borderId="0" xfId="0" applyFont="1" applyFill="1" applyAlignment="1">
      <alignment horizontal="left" vertical="center" wrapText="1"/>
    </xf>
    <xf numFmtId="0" fontId="54" fillId="25" borderId="11" xfId="0" applyFont="1" applyFill="1" applyBorder="1" applyAlignment="1">
      <alignment horizontal="left" vertical="center" wrapText="1"/>
    </xf>
    <xf numFmtId="0" fontId="54" fillId="25" borderId="10" xfId="0" applyFont="1" applyFill="1" applyBorder="1" applyAlignment="1">
      <alignment horizontal="left" vertical="center" wrapText="1"/>
    </xf>
    <xf numFmtId="0" fontId="54" fillId="25" borderId="12" xfId="0" applyFont="1" applyFill="1" applyBorder="1" applyAlignment="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lignment horizontal="center" vertical="center"/>
    </xf>
    <xf numFmtId="0" fontId="63" fillId="0" borderId="123" xfId="0" applyFont="1" applyBorder="1" applyAlignment="1">
      <alignment horizontal="center" vertical="center"/>
    </xf>
    <xf numFmtId="0" fontId="51" fillId="25" borderId="16" xfId="0" applyFont="1" applyFill="1" applyBorder="1" applyAlignment="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lignment vertical="center" wrapText="1"/>
    </xf>
    <xf numFmtId="0" fontId="45" fillId="0" borderId="69" xfId="0" applyFont="1" applyBorder="1" applyAlignment="1">
      <alignment vertical="center" wrapText="1"/>
    </xf>
    <xf numFmtId="0" fontId="45" fillId="0" borderId="16" xfId="0" applyFont="1" applyBorder="1" applyAlignment="1">
      <alignment vertical="center" wrapText="1"/>
    </xf>
    <xf numFmtId="0" fontId="51" fillId="33" borderId="120" xfId="0" applyFont="1" applyFill="1" applyBorder="1" applyAlignment="1">
      <alignment horizontal="center" vertical="center"/>
    </xf>
    <xf numFmtId="0" fontId="51" fillId="33" borderId="122" xfId="0" applyFont="1" applyFill="1" applyBorder="1" applyAlignment="1">
      <alignment horizontal="center" vertical="center"/>
    </xf>
    <xf numFmtId="0" fontId="45" fillId="0" borderId="158" xfId="0" applyFont="1" applyBorder="1" applyAlignment="1">
      <alignment horizontal="left" vertical="center"/>
    </xf>
    <xf numFmtId="0" fontId="45" fillId="0" borderId="18" xfId="0" applyFont="1" applyBorder="1" applyAlignment="1">
      <alignment horizontal="left" vertical="center"/>
    </xf>
    <xf numFmtId="0" fontId="45" fillId="25" borderId="54" xfId="0" applyFont="1" applyFill="1" applyBorder="1" applyAlignment="1">
      <alignment horizontal="left" vertical="center" wrapText="1"/>
    </xf>
    <xf numFmtId="0" fontId="45" fillId="25" borderId="11" xfId="0" applyFont="1" applyFill="1" applyBorder="1" applyAlignment="1">
      <alignment horizontal="left" vertical="center" wrapText="1"/>
    </xf>
    <xf numFmtId="0" fontId="57" fillId="25" borderId="54" xfId="0" applyFont="1" applyFill="1" applyBorder="1" applyAlignment="1">
      <alignment horizontal="left" vertical="center" wrapText="1"/>
    </xf>
    <xf numFmtId="0" fontId="49" fillId="0" borderId="79"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28" xfId="0" applyFont="1" applyBorder="1" applyAlignment="1">
      <alignment horizontal="center" vertical="center" shrinkToFit="1"/>
    </xf>
    <xf numFmtId="0" fontId="43" fillId="0" borderId="79" xfId="0" applyFont="1" applyBorder="1" applyAlignment="1">
      <alignment horizontal="left" vertical="center" wrapText="1"/>
    </xf>
    <xf numFmtId="0" fontId="43" fillId="0" borderId="10" xfId="0" applyFont="1" applyBorder="1" applyAlignment="1">
      <alignment horizontal="left" vertical="center" wrapText="1"/>
    </xf>
    <xf numFmtId="0" fontId="43" fillId="0" borderId="28" xfId="0" applyFont="1" applyBorder="1" applyAlignment="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lignment horizontal="left" vertical="center" wrapText="1"/>
    </xf>
    <xf numFmtId="0" fontId="38" fillId="0" borderId="35" xfId="0" applyFont="1" applyBorder="1" applyAlignment="1">
      <alignment horizontal="left" vertical="center" wrapText="1"/>
    </xf>
    <xf numFmtId="0" fontId="38"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2" fillId="0" borderId="79" xfId="0" applyFont="1" applyBorder="1" applyAlignment="1">
      <alignment horizontal="center" vertical="center" wrapText="1"/>
    </xf>
    <xf numFmtId="0" fontId="72" fillId="0" borderId="79" xfId="0" applyFont="1" applyBorder="1" applyAlignment="1">
      <alignment horizontal="center" vertical="center"/>
    </xf>
    <xf numFmtId="0" fontId="72" fillId="0" borderId="103" xfId="0" applyFont="1" applyBorder="1" applyAlignment="1">
      <alignment horizontal="center" vertical="center"/>
    </xf>
    <xf numFmtId="181" fontId="72" fillId="0" borderId="144" xfId="0" applyNumberFormat="1" applyFont="1" applyBorder="1" applyAlignment="1">
      <alignment horizontal="center" vertical="center" wrapText="1"/>
    </xf>
    <xf numFmtId="181" fontId="72" fillId="0" borderId="146" xfId="0" applyNumberFormat="1" applyFont="1" applyBorder="1" applyAlignment="1">
      <alignment horizontal="center" vertical="center"/>
    </xf>
    <xf numFmtId="0" fontId="95" fillId="0" borderId="183" xfId="0" applyFont="1" applyBorder="1" applyAlignment="1">
      <alignment horizontal="center" vertical="center"/>
    </xf>
    <xf numFmtId="0" fontId="49" fillId="25" borderId="45" xfId="0" applyFont="1" applyFill="1" applyBorder="1" applyAlignment="1">
      <alignment horizontal="center" vertical="center" wrapText="1"/>
    </xf>
    <xf numFmtId="0" fontId="49" fillId="25" borderId="79" xfId="0" applyFont="1" applyFill="1" applyBorder="1" applyAlignment="1">
      <alignment horizontal="center" vertical="center" wrapText="1"/>
    </xf>
    <xf numFmtId="0" fontId="49" fillId="25" borderId="55" xfId="0" applyFont="1" applyFill="1" applyBorder="1" applyAlignment="1">
      <alignment horizontal="center" vertical="center" wrapText="1"/>
    </xf>
    <xf numFmtId="0" fontId="49" fillId="25" borderId="46" xfId="0" applyFont="1" applyFill="1" applyBorder="1" applyAlignment="1">
      <alignment horizontal="center" vertical="center" wrapText="1"/>
    </xf>
    <xf numFmtId="0" fontId="49" fillId="25" borderId="47" xfId="0" applyFont="1" applyFill="1" applyBorder="1" applyAlignment="1">
      <alignment horizontal="center" vertical="center" wrapText="1"/>
    </xf>
    <xf numFmtId="0" fontId="49" fillId="25" borderId="23" xfId="0" applyFont="1" applyFill="1" applyBorder="1" applyAlignment="1">
      <alignment horizontal="center" vertical="center" wrapText="1"/>
    </xf>
    <xf numFmtId="0" fontId="49" fillId="25" borderId="106" xfId="0" applyFont="1" applyFill="1" applyBorder="1" applyAlignment="1">
      <alignment horizontal="center" vertical="center" wrapText="1"/>
    </xf>
    <xf numFmtId="0" fontId="83" fillId="29" borderId="25" xfId="0" applyFont="1" applyFill="1" applyBorder="1" applyAlignment="1">
      <alignment horizontal="center" vertical="center"/>
    </xf>
    <xf numFmtId="0" fontId="83" fillId="29" borderId="31" xfId="0" applyFont="1" applyFill="1" applyBorder="1" applyAlignment="1">
      <alignment horizontal="center" vertical="center"/>
    </xf>
    <xf numFmtId="0" fontId="49" fillId="0" borderId="142" xfId="0" applyFont="1" applyBorder="1" applyAlignment="1">
      <alignment horizontal="center" vertical="center" shrinkToFit="1"/>
    </xf>
    <xf numFmtId="0" fontId="49" fillId="0" borderId="41" xfId="0" applyFont="1" applyBorder="1" applyAlignment="1">
      <alignment horizontal="center" vertical="center" shrinkToFit="1"/>
    </xf>
    <xf numFmtId="0" fontId="49" fillId="0" borderId="143" xfId="0" applyFont="1" applyBorder="1" applyAlignment="1">
      <alignment horizontal="center" vertical="center" shrinkToFit="1"/>
    </xf>
    <xf numFmtId="0" fontId="49" fillId="0" borderId="32" xfId="0" applyFont="1" applyBorder="1" applyAlignment="1">
      <alignment horizontal="center" vertical="center" shrinkToFit="1"/>
    </xf>
    <xf numFmtId="0" fontId="49" fillId="0" borderId="0" xfId="0" applyFont="1" applyAlignment="1">
      <alignment horizontal="center" vertical="center" shrinkToFit="1"/>
    </xf>
    <xf numFmtId="0" fontId="49" fillId="0" borderId="16" xfId="0" applyFont="1" applyBorder="1" applyAlignment="1">
      <alignment horizontal="center" vertical="center" shrinkToFit="1"/>
    </xf>
    <xf numFmtId="0" fontId="49" fillId="0" borderId="140" xfId="0" applyFont="1" applyBorder="1" applyAlignment="1">
      <alignment horizontal="center" vertical="center" shrinkToFit="1"/>
    </xf>
    <xf numFmtId="0" fontId="49" fillId="0" borderId="86" xfId="0" applyFont="1" applyBorder="1" applyAlignment="1">
      <alignment horizontal="center" vertical="center" shrinkToFit="1"/>
    </xf>
    <xf numFmtId="0" fontId="49" fillId="0" borderId="139" xfId="0" applyFont="1" applyBorder="1" applyAlignment="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lignment horizontal="left" vertical="center"/>
    </xf>
    <xf numFmtId="0" fontId="38" fillId="25" borderId="35" xfId="0" applyFont="1" applyFill="1" applyBorder="1" applyAlignment="1">
      <alignment horizontal="left" vertical="center"/>
    </xf>
    <xf numFmtId="0" fontId="38" fillId="25" borderId="64" xfId="0" applyFont="1" applyFill="1" applyBorder="1" applyAlignment="1">
      <alignment horizontal="left" vertical="center"/>
    </xf>
    <xf numFmtId="0" fontId="38" fillId="25" borderId="14" xfId="0" applyFont="1" applyFill="1" applyBorder="1" applyAlignment="1">
      <alignment horizontal="left" vertical="center"/>
    </xf>
    <xf numFmtId="0" fontId="38" fillId="25" borderId="10" xfId="0" applyFont="1" applyFill="1" applyBorder="1" applyAlignment="1">
      <alignment horizontal="left" vertical="center" wrapText="1"/>
    </xf>
    <xf numFmtId="0" fontId="43" fillId="0" borderId="141" xfId="0" applyFont="1" applyBorder="1" applyAlignment="1">
      <alignment horizontal="center" vertical="center" wrapText="1"/>
    </xf>
    <xf numFmtId="0" fontId="43" fillId="0" borderId="51" xfId="0" applyFont="1" applyBorder="1" applyAlignment="1">
      <alignment horizontal="center" vertical="center" wrapText="1"/>
    </xf>
    <xf numFmtId="0" fontId="43" fillId="0" borderId="137" xfId="0" applyFont="1" applyBorder="1" applyAlignment="1">
      <alignment horizontal="center" vertical="center" wrapText="1"/>
    </xf>
    <xf numFmtId="0" fontId="43" fillId="0" borderId="119" xfId="0" applyFont="1" applyBorder="1" applyAlignment="1">
      <alignment horizontal="left" vertical="center" wrapText="1"/>
    </xf>
    <xf numFmtId="0" fontId="43" fillId="0" borderId="82" xfId="0" applyFont="1" applyBorder="1" applyAlignment="1">
      <alignment horizontal="left" vertical="center" wrapText="1"/>
    </xf>
    <xf numFmtId="0" fontId="43" fillId="0" borderId="145" xfId="0" applyFont="1" applyBorder="1" applyAlignment="1">
      <alignment horizontal="left" vertical="center" wrapText="1"/>
    </xf>
    <xf numFmtId="0" fontId="49" fillId="25" borderId="142" xfId="0" applyFont="1" applyFill="1" applyBorder="1" applyAlignment="1">
      <alignment horizontal="center" vertical="center" wrapText="1" shrinkToFit="1"/>
    </xf>
    <xf numFmtId="0" fontId="49" fillId="25" borderId="41" xfId="0" applyFont="1" applyFill="1" applyBorder="1" applyAlignment="1">
      <alignment horizontal="center" vertical="center" wrapText="1" shrinkToFit="1"/>
    </xf>
    <xf numFmtId="0" fontId="49" fillId="25" borderId="143" xfId="0" applyFont="1" applyFill="1" applyBorder="1" applyAlignment="1">
      <alignment horizontal="center" vertical="center" wrapText="1" shrinkToFit="1"/>
    </xf>
    <xf numFmtId="0" fontId="49" fillId="25" borderId="140" xfId="0" applyFont="1" applyFill="1" applyBorder="1" applyAlignment="1">
      <alignment horizontal="center" vertical="center" wrapText="1" shrinkToFit="1"/>
    </xf>
    <xf numFmtId="0" fontId="49" fillId="25" borderId="86" xfId="0" applyFont="1" applyFill="1" applyBorder="1" applyAlignment="1">
      <alignment horizontal="center" vertical="center" wrapText="1" shrinkToFit="1"/>
    </xf>
    <xf numFmtId="0" fontId="49" fillId="25" borderId="139" xfId="0" applyFont="1" applyFill="1" applyBorder="1" applyAlignment="1">
      <alignment horizontal="center" vertical="center" wrapText="1" shrinkToFit="1"/>
    </xf>
    <xf numFmtId="0" fontId="49" fillId="25" borderId="119" xfId="0" applyFont="1" applyFill="1" applyBorder="1" applyAlignment="1">
      <alignment horizontal="center" vertical="center" wrapText="1" shrinkToFit="1"/>
    </xf>
    <xf numFmtId="0" fontId="49" fillId="25" borderId="145" xfId="0" applyFont="1" applyFill="1" applyBorder="1" applyAlignment="1">
      <alignment horizontal="center" vertical="center" wrapText="1" shrinkToFit="1"/>
    </xf>
    <xf numFmtId="0" fontId="49" fillId="25" borderId="119" xfId="0" applyFont="1" applyFill="1" applyBorder="1" applyAlignment="1">
      <alignment horizontal="center" vertical="center" shrinkToFit="1"/>
    </xf>
    <xf numFmtId="0" fontId="49" fillId="25" borderId="145" xfId="0" applyFont="1" applyFill="1" applyBorder="1" applyAlignment="1">
      <alignment horizontal="center" vertical="center" shrinkToFit="1"/>
    </xf>
    <xf numFmtId="0" fontId="0" fillId="25" borderId="0" xfId="0" applyFill="1" applyAlignment="1">
      <alignment horizontal="left" vertical="top" wrapText="1"/>
    </xf>
    <xf numFmtId="0" fontId="0" fillId="25" borderId="157" xfId="0" applyFill="1" applyBorder="1" applyAlignment="1">
      <alignment horizontal="left" vertical="top" wrapText="1"/>
    </xf>
    <xf numFmtId="0" fontId="43" fillId="0" borderId="45"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50" xfId="0" applyFont="1" applyBorder="1" applyAlignment="1">
      <alignment horizontal="center" vertical="center" wrapText="1"/>
    </xf>
    <xf numFmtId="0" fontId="30" fillId="0" borderId="28" xfId="0" applyFont="1" applyBorder="1" applyAlignment="1">
      <alignment horizontal="center" vertical="center" shrinkToFit="1"/>
    </xf>
    <xf numFmtId="0" fontId="49" fillId="25" borderId="141" xfId="0" applyFont="1" applyFill="1" applyBorder="1" applyAlignment="1">
      <alignment horizontal="center" vertical="center" wrapText="1"/>
    </xf>
    <xf numFmtId="0" fontId="49" fillId="25" borderId="137" xfId="0" applyFont="1" applyFill="1" applyBorder="1" applyAlignment="1">
      <alignment horizontal="center" vertical="center" wrapText="1"/>
    </xf>
    <xf numFmtId="0" fontId="38" fillId="0" borderId="119" xfId="0" applyFont="1" applyBorder="1" applyAlignment="1">
      <alignment horizontal="left" vertical="center" wrapText="1"/>
    </xf>
    <xf numFmtId="0" fontId="38" fillId="0" borderId="82" xfId="0" applyFont="1" applyBorder="1" applyAlignment="1">
      <alignment horizontal="left" vertical="center" wrapText="1"/>
    </xf>
    <xf numFmtId="0" fontId="38" fillId="0" borderId="145" xfId="0" applyFont="1" applyBorder="1" applyAlignment="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lignment horizontal="center" vertical="center" shrinkToFit="1"/>
    </xf>
    <xf numFmtId="0" fontId="49" fillId="25" borderId="140" xfId="0" applyFont="1" applyFill="1" applyBorder="1" applyAlignment="1">
      <alignment horizontal="center" vertical="center" shrinkToFit="1"/>
    </xf>
    <xf numFmtId="0" fontId="43" fillId="25" borderId="119" xfId="0" applyFont="1" applyFill="1" applyBorder="1" applyAlignment="1">
      <alignment horizontal="center" vertical="center" wrapText="1"/>
    </xf>
    <xf numFmtId="0" fontId="43" fillId="25" borderId="145" xfId="0" applyFont="1" applyFill="1" applyBorder="1" applyAlignment="1">
      <alignment horizontal="center" vertical="center" wrapText="1"/>
    </xf>
    <xf numFmtId="0" fontId="49" fillId="25" borderId="79" xfId="0" applyFont="1" applyFill="1" applyBorder="1" applyAlignment="1">
      <alignment horizontal="center" vertical="center"/>
    </xf>
    <xf numFmtId="0" fontId="43" fillId="0" borderId="75" xfId="0" applyFont="1" applyBorder="1" applyAlignment="1">
      <alignment horizontal="left" vertical="center" wrapText="1"/>
    </xf>
    <xf numFmtId="0" fontId="43" fillId="0" borderId="13" xfId="0" applyFont="1" applyBorder="1" applyAlignment="1">
      <alignment horizontal="left" vertical="center" wrapText="1"/>
    </xf>
    <xf numFmtId="0" fontId="49" fillId="0" borderId="13" xfId="0" applyFont="1" applyBorder="1" applyAlignment="1">
      <alignment horizontal="center" vertical="center" shrinkToFit="1"/>
    </xf>
    <xf numFmtId="0" fontId="49" fillId="25" borderId="25" xfId="0" applyFont="1" applyFill="1" applyBorder="1">
      <alignment vertical="center"/>
    </xf>
    <xf numFmtId="0" fontId="49" fillId="25" borderId="30" xfId="0" applyFont="1" applyFill="1" applyBorder="1">
      <alignment vertical="center"/>
    </xf>
    <xf numFmtId="0" fontId="49" fillId="25" borderId="31" xfId="0" applyFont="1" applyFill="1" applyBorder="1">
      <alignment vertical="center"/>
    </xf>
    <xf numFmtId="0" fontId="49" fillId="25" borderId="10" xfId="0" applyFont="1" applyFill="1" applyBorder="1" applyAlignment="1">
      <alignment horizontal="center" vertical="center"/>
    </xf>
    <xf numFmtId="0" fontId="49" fillId="25" borderId="12" xfId="0" applyFont="1" applyFill="1" applyBorder="1" applyAlignment="1">
      <alignment horizontal="center" vertical="center"/>
    </xf>
    <xf numFmtId="0" fontId="34" fillId="25" borderId="141" xfId="0" applyFont="1" applyFill="1" applyBorder="1" applyAlignment="1">
      <alignment horizontal="center" vertical="center" textRotation="255" wrapText="1"/>
    </xf>
    <xf numFmtId="0" fontId="34" fillId="25" borderId="137" xfId="0" applyFont="1" applyFill="1" applyBorder="1" applyAlignment="1">
      <alignment horizontal="center" vertical="center" textRotation="255" wrapText="1"/>
    </xf>
    <xf numFmtId="0" fontId="43" fillId="0" borderId="100" xfId="0" applyFont="1" applyBorder="1" applyAlignment="1">
      <alignment horizontal="center" vertical="center" wrapText="1"/>
    </xf>
    <xf numFmtId="0" fontId="49" fillId="0" borderId="75" xfId="0" applyFont="1" applyBorder="1" applyAlignment="1">
      <alignment horizontal="center" vertical="center" shrinkToFit="1"/>
    </xf>
    <xf numFmtId="0" fontId="43" fillId="0" borderId="99" xfId="0" applyFont="1" applyBorder="1" applyAlignment="1">
      <alignment horizontal="center" vertical="center" wrapText="1"/>
    </xf>
    <xf numFmtId="0" fontId="38" fillId="25" borderId="35" xfId="0" applyFont="1" applyFill="1" applyBorder="1" applyAlignment="1">
      <alignment horizontal="left" vertical="center" wrapText="1"/>
    </xf>
    <xf numFmtId="0" fontId="38" fillId="25" borderId="64" xfId="0" applyFont="1" applyFill="1" applyBorder="1" applyAlignment="1">
      <alignment horizontal="left" vertical="center" wrapText="1"/>
    </xf>
    <xf numFmtId="0" fontId="72" fillId="0" borderId="110" xfId="0" applyFont="1" applyBorder="1" applyAlignment="1">
      <alignment horizontal="center" vertical="center" wrapText="1"/>
    </xf>
    <xf numFmtId="0" fontId="72" fillId="0" borderId="154" xfId="0" applyFont="1" applyBorder="1" applyAlignment="1">
      <alignment horizontal="center" vertical="center" wrapText="1"/>
    </xf>
    <xf numFmtId="0" fontId="110" fillId="0" borderId="188" xfId="0" applyFont="1" applyBorder="1" applyAlignment="1">
      <alignment horizontal="center" vertical="center" wrapText="1"/>
    </xf>
    <xf numFmtId="0" fontId="95" fillId="0" borderId="187" xfId="0" applyFont="1" applyBorder="1" applyAlignment="1">
      <alignment horizontal="center" vertical="center" wrapText="1"/>
    </xf>
    <xf numFmtId="0" fontId="0" fillId="0" borderId="112" xfId="0" applyBorder="1" applyAlignment="1">
      <alignment horizontal="left" vertical="center" wrapText="1"/>
    </xf>
    <xf numFmtId="0" fontId="95" fillId="0" borderId="183" xfId="0" applyFont="1" applyBorder="1" applyAlignment="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lignment horizontal="center" vertical="center"/>
    </xf>
    <xf numFmtId="0" fontId="91" fillId="25" borderId="11" xfId="0" applyFont="1" applyFill="1" applyBorder="1" applyAlignment="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5" fillId="0" borderId="188" xfId="0" applyFont="1" applyBorder="1" applyAlignment="1">
      <alignment horizontal="center" vertical="center"/>
    </xf>
    <xf numFmtId="0" fontId="95" fillId="0" borderId="187" xfId="0" applyFont="1" applyBorder="1" applyAlignment="1">
      <alignment horizontal="center" vertical="center"/>
    </xf>
    <xf numFmtId="0" fontId="95" fillId="0" borderId="188" xfId="0" applyFont="1" applyBorder="1" applyAlignment="1">
      <alignment horizontal="right" vertical="center"/>
    </xf>
    <xf numFmtId="0" fontId="95" fillId="0" borderId="187" xfId="0" applyFont="1" applyBorder="1" applyAlignment="1">
      <alignment horizontal="right" vertical="center"/>
    </xf>
    <xf numFmtId="0" fontId="95" fillId="0" borderId="183" xfId="0" applyFont="1" applyBorder="1" applyAlignment="1">
      <alignment horizontal="right" vertical="center"/>
    </xf>
    <xf numFmtId="0" fontId="83" fillId="29" borderId="25" xfId="0" applyFont="1" applyFill="1" applyBorder="1" applyAlignment="1">
      <alignment horizontal="center" vertical="center" shrinkToFit="1"/>
    </xf>
    <xf numFmtId="0" fontId="83" fillId="29" borderId="31" xfId="0" applyFont="1" applyFill="1" applyBorder="1" applyAlignment="1">
      <alignment horizontal="center" vertical="center" shrinkToFit="1"/>
    </xf>
    <xf numFmtId="0" fontId="49" fillId="25" borderId="103" xfId="0" applyFont="1" applyFill="1" applyBorder="1" applyAlignment="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lignment horizontal="center" vertical="center" shrinkToFit="1"/>
    </xf>
    <xf numFmtId="177" fontId="43" fillId="0" borderId="145" xfId="0" applyNumberFormat="1" applyFont="1" applyBorder="1" applyAlignment="1">
      <alignment horizontal="center" vertical="center" shrinkToFit="1"/>
    </xf>
    <xf numFmtId="177" fontId="43" fillId="0" borderId="180" xfId="0" applyNumberFormat="1" applyFont="1" applyBorder="1" applyAlignment="1">
      <alignment horizontal="center" vertical="center"/>
    </xf>
    <xf numFmtId="177" fontId="43" fillId="0" borderId="181" xfId="0" applyNumberFormat="1" applyFont="1" applyBorder="1" applyAlignment="1">
      <alignment horizontal="center" vertical="center"/>
    </xf>
    <xf numFmtId="177" fontId="49" fillId="25" borderId="13" xfId="0" applyNumberFormat="1" applyFont="1" applyFill="1" applyBorder="1" applyAlignment="1">
      <alignment horizontal="right" vertical="center" shrinkToFit="1"/>
    </xf>
    <xf numFmtId="177" fontId="49" fillId="25" borderId="145" xfId="0" applyNumberFormat="1" applyFont="1" applyFill="1" applyBorder="1" applyAlignment="1">
      <alignment horizontal="right" vertical="center" shrinkToFit="1"/>
    </xf>
    <xf numFmtId="177" fontId="49" fillId="25" borderId="119" xfId="0" applyNumberFormat="1" applyFont="1" applyFill="1" applyBorder="1" applyAlignment="1">
      <alignment horizontal="right" vertical="center"/>
    </xf>
    <xf numFmtId="177" fontId="49" fillId="25" borderId="75" xfId="0" applyNumberFormat="1" applyFont="1" applyFill="1" applyBorder="1" applyAlignment="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lignment horizontal="center" vertical="center"/>
    </xf>
    <xf numFmtId="0" fontId="43" fillId="25" borderId="18" xfId="0" applyFont="1" applyFill="1" applyBorder="1" applyAlignment="1">
      <alignment horizontal="center" vertical="center"/>
    </xf>
    <xf numFmtId="0" fontId="43" fillId="25" borderId="143" xfId="0" applyFont="1" applyFill="1" applyBorder="1" applyAlignment="1">
      <alignment horizontal="center" vertical="center"/>
    </xf>
    <xf numFmtId="0" fontId="43" fillId="25" borderId="19" xfId="0" applyFont="1" applyFill="1" applyBorder="1" applyAlignment="1">
      <alignment horizontal="center" vertical="center"/>
    </xf>
    <xf numFmtId="177" fontId="49" fillId="25" borderId="142" xfId="0" applyNumberFormat="1" applyFont="1" applyFill="1" applyBorder="1" applyAlignment="1">
      <alignment horizontal="right" vertical="center"/>
    </xf>
    <xf numFmtId="177" fontId="49" fillId="25" borderId="17" xfId="0" applyNumberFormat="1" applyFont="1" applyFill="1" applyBorder="1" applyAlignment="1">
      <alignment horizontal="right" vertical="center"/>
    </xf>
    <xf numFmtId="177" fontId="72" fillId="25" borderId="144" xfId="0" applyNumberFormat="1" applyFont="1" applyFill="1" applyBorder="1" applyAlignment="1">
      <alignment horizontal="right" vertical="center"/>
    </xf>
    <xf numFmtId="177" fontId="72" fillId="25" borderId="92" xfId="0" applyNumberFormat="1" applyFont="1" applyFill="1" applyBorder="1" applyAlignment="1">
      <alignment horizontal="right" vertical="center"/>
    </xf>
    <xf numFmtId="177" fontId="49" fillId="25" borderId="40" xfId="0" applyNumberFormat="1" applyFont="1" applyFill="1" applyBorder="1" applyAlignment="1">
      <alignment horizontal="right" vertical="center"/>
    </xf>
    <xf numFmtId="177" fontId="49" fillId="25" borderId="101" xfId="0" applyNumberFormat="1" applyFont="1" applyFill="1" applyBorder="1" applyAlignment="1">
      <alignment horizontal="right" vertical="center"/>
    </xf>
    <xf numFmtId="0" fontId="43" fillId="25" borderId="15" xfId="0" applyFont="1" applyFill="1" applyBorder="1" applyAlignment="1">
      <alignment horizontal="center" vertical="center"/>
    </xf>
    <xf numFmtId="0" fontId="43" fillId="25" borderId="156" xfId="0" applyFont="1" applyFill="1" applyBorder="1" applyAlignment="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lignment horizontal="center" vertical="center"/>
    </xf>
    <xf numFmtId="0" fontId="43" fillId="25" borderId="157" xfId="0" applyFont="1" applyFill="1" applyBorder="1" applyAlignment="1">
      <alignment horizontal="center" vertical="center"/>
    </xf>
    <xf numFmtId="177" fontId="49" fillId="25" borderId="14" xfId="0" applyNumberFormat="1" applyFont="1" applyFill="1" applyBorder="1" applyAlignment="1">
      <alignment horizontal="right" vertical="center"/>
    </xf>
    <xf numFmtId="177" fontId="49" fillId="25" borderId="155" xfId="0" applyNumberFormat="1" applyFont="1" applyFill="1" applyBorder="1" applyAlignment="1">
      <alignment horizontal="right" vertical="center"/>
    </xf>
    <xf numFmtId="177" fontId="72" fillId="25" borderId="78" xfId="0" applyNumberFormat="1" applyFont="1" applyFill="1" applyBorder="1" applyAlignment="1">
      <alignment horizontal="right" vertical="center"/>
    </xf>
    <xf numFmtId="177" fontId="72" fillId="25" borderId="146" xfId="0" applyNumberFormat="1" applyFont="1" applyFill="1" applyBorder="1" applyAlignment="1">
      <alignment horizontal="right" vertical="center"/>
    </xf>
    <xf numFmtId="177" fontId="49" fillId="25" borderId="99" xfId="0" applyNumberFormat="1" applyFont="1" applyFill="1" applyBorder="1" applyAlignment="1">
      <alignment horizontal="right" vertical="center"/>
    </xf>
    <xf numFmtId="177" fontId="49" fillId="25" borderId="137" xfId="0" applyNumberFormat="1" applyFont="1" applyFill="1" applyBorder="1" applyAlignment="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5"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57"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6" xfId="0" applyFont="1" applyFill="1" applyBorder="1" applyAlignment="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lignment horizontal="center" vertical="center" wrapText="1"/>
    </xf>
    <xf numFmtId="0" fontId="49"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lignment horizontal="center" vertical="center"/>
    </xf>
    <xf numFmtId="0" fontId="43" fillId="25" borderId="155" xfId="0" applyFont="1" applyFill="1" applyBorder="1" applyAlignment="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lignment horizontal="center" vertical="center"/>
    </xf>
    <xf numFmtId="0" fontId="104" fillId="0" borderId="41" xfId="0" applyFont="1" applyBorder="1" applyAlignment="1">
      <alignment horizontal="center" vertical="center"/>
    </xf>
    <xf numFmtId="0" fontId="104" fillId="0" borderId="143"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lignment horizontal="center" vertical="center" wrapText="1"/>
    </xf>
    <xf numFmtId="0" fontId="49"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lignment horizontal="center" vertical="center"/>
    </xf>
    <xf numFmtId="0" fontId="43" fillId="25" borderId="17" xfId="0" applyFont="1" applyFill="1" applyBorder="1" applyAlignment="1">
      <alignment horizontal="center" vertical="center"/>
    </xf>
    <xf numFmtId="0" fontId="49" fillId="0" borderId="155" xfId="0" applyFont="1" applyBorder="1" applyAlignment="1">
      <alignment horizontal="center" vertical="center" shrinkToFit="1"/>
    </xf>
    <xf numFmtId="0" fontId="49" fillId="0" borderId="157" xfId="0" applyFont="1" applyBorder="1" applyAlignment="1">
      <alignment horizontal="center" vertical="center" shrinkToFit="1"/>
    </xf>
    <xf numFmtId="0" fontId="49" fillId="0" borderId="156" xfId="0" applyFont="1" applyBorder="1" applyAlignment="1">
      <alignment horizontal="center" vertical="center" shrinkToFit="1"/>
    </xf>
    <xf numFmtId="0" fontId="43" fillId="0" borderId="142" xfId="0" applyFont="1" applyBorder="1" applyAlignment="1">
      <alignment horizontal="left" vertical="center" wrapText="1"/>
    </xf>
    <xf numFmtId="0" fontId="43" fillId="0" borderId="32" xfId="0" applyFont="1" applyBorder="1" applyAlignment="1">
      <alignment horizontal="left" vertical="center" wrapText="1"/>
    </xf>
    <xf numFmtId="0" fontId="43" fillId="0" borderId="155" xfId="0" applyFont="1" applyBorder="1" applyAlignment="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57" xfId="0" applyFont="1" applyFill="1" applyBorder="1" applyAlignment="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lignment horizontal="center" vertical="center" textRotation="255" wrapText="1"/>
    </xf>
    <xf numFmtId="0" fontId="43" fillId="25" borderId="137" xfId="0" applyFont="1" applyFill="1" applyBorder="1" applyAlignment="1">
      <alignment horizontal="center" vertical="center" textRotation="255" wrapText="1"/>
    </xf>
    <xf numFmtId="0" fontId="49" fillId="25" borderId="142" xfId="0" applyFont="1" applyFill="1" applyBorder="1" applyAlignment="1">
      <alignment horizontal="center" vertical="center" wrapText="1"/>
    </xf>
    <xf numFmtId="0" fontId="49" fillId="25" borderId="155" xfId="0" applyFont="1" applyFill="1" applyBorder="1" applyAlignment="1">
      <alignment horizontal="center" vertical="center" wrapText="1"/>
    </xf>
    <xf numFmtId="0" fontId="104" fillId="0" borderId="14" xfId="0" applyFont="1" applyBorder="1" applyAlignment="1">
      <alignment horizontal="center" vertical="center" shrinkToFit="1"/>
    </xf>
    <xf numFmtId="0" fontId="104" fillId="0" borderId="155" xfId="0" applyFont="1" applyBorder="1" applyAlignment="1">
      <alignment horizontal="center" vertical="center" shrinkToFit="1"/>
    </xf>
    <xf numFmtId="0" fontId="104" fillId="0" borderId="15" xfId="0" applyFont="1" applyBorder="1" applyAlignment="1">
      <alignment horizontal="center" vertical="center"/>
    </xf>
    <xf numFmtId="0" fontId="104" fillId="0" borderId="156" xfId="0" applyFont="1" applyBorder="1" applyAlignment="1">
      <alignment horizontal="center" vertical="center"/>
    </xf>
    <xf numFmtId="0" fontId="43" fillId="25" borderId="76" xfId="0" applyFont="1" applyFill="1" applyBorder="1" applyAlignment="1">
      <alignment horizontal="center" vertical="center" wrapText="1"/>
    </xf>
    <xf numFmtId="0" fontId="43" fillId="25" borderId="106" xfId="0" applyFont="1" applyFill="1" applyBorder="1" applyAlignment="1">
      <alignment horizontal="center" vertical="center" wrapText="1"/>
    </xf>
    <xf numFmtId="0" fontId="49" fillId="25" borderId="28" xfId="0" applyFont="1" applyFill="1" applyBorder="1" applyAlignment="1">
      <alignment horizontal="center" vertical="center"/>
    </xf>
    <xf numFmtId="0" fontId="49" fillId="25" borderId="41" xfId="0" applyFont="1" applyFill="1" applyBorder="1" applyAlignment="1">
      <alignment horizontal="center" vertical="center"/>
    </xf>
    <xf numFmtId="0" fontId="49" fillId="25" borderId="143" xfId="0" applyFont="1" applyFill="1" applyBorder="1" applyAlignment="1">
      <alignment horizontal="center" vertical="center"/>
    </xf>
    <xf numFmtId="0" fontId="49" fillId="25" borderId="140" xfId="0" applyFont="1" applyFill="1" applyBorder="1" applyAlignment="1">
      <alignment horizontal="center" vertical="center"/>
    </xf>
    <xf numFmtId="0" fontId="49" fillId="25" borderId="86" xfId="0" applyFont="1" applyFill="1" applyBorder="1" applyAlignment="1">
      <alignment horizontal="center" vertical="center"/>
    </xf>
    <xf numFmtId="0" fontId="49" fillId="25" borderId="139" xfId="0" applyFont="1" applyFill="1" applyBorder="1" applyAlignment="1">
      <alignment horizontal="center" vertical="center"/>
    </xf>
    <xf numFmtId="0" fontId="72" fillId="0" borderId="142"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143" xfId="0" applyFont="1" applyBorder="1" applyAlignment="1">
      <alignment horizontal="center" vertical="center" wrapText="1"/>
    </xf>
    <xf numFmtId="0" fontId="72" fillId="0" borderId="155" xfId="0" applyFont="1" applyBorder="1" applyAlignment="1">
      <alignment horizontal="center" vertical="center" wrapText="1"/>
    </xf>
    <xf numFmtId="0" fontId="72" fillId="0" borderId="157" xfId="0" applyFont="1" applyBorder="1" applyAlignment="1">
      <alignment horizontal="center" vertical="center" wrapText="1"/>
    </xf>
    <xf numFmtId="0" fontId="72" fillId="0" borderId="156" xfId="0" applyFont="1" applyBorder="1" applyAlignment="1">
      <alignment horizontal="center" vertical="center" wrapText="1"/>
    </xf>
    <xf numFmtId="0" fontId="49" fillId="25" borderId="50" xfId="0" applyFont="1" applyFill="1" applyBorder="1" applyAlignment="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lignment horizontal="center" vertical="center" wrapText="1"/>
    </xf>
    <xf numFmtId="0" fontId="49" fillId="25" borderId="26" xfId="0" applyFont="1" applyFill="1" applyBorder="1" applyAlignment="1">
      <alignment horizontal="center" vertical="center"/>
    </xf>
    <xf numFmtId="0" fontId="72" fillId="25" borderId="144" xfId="0" applyFont="1" applyFill="1" applyBorder="1" applyAlignment="1">
      <alignment horizontal="center" vertical="center" wrapText="1"/>
    </xf>
    <xf numFmtId="0" fontId="72" fillId="25" borderId="146" xfId="0" applyFont="1" applyFill="1" applyBorder="1" applyAlignment="1">
      <alignment horizontal="center" vertical="center" wrapText="1"/>
    </xf>
    <xf numFmtId="0" fontId="30" fillId="0" borderId="157" xfId="0" applyFont="1" applyBorder="1" applyAlignment="1">
      <alignment horizontal="center" vertical="center" shrinkToFit="1"/>
    </xf>
    <xf numFmtId="0" fontId="110" fillId="0" borderId="187" xfId="0" applyFont="1" applyBorder="1" applyAlignment="1">
      <alignment horizontal="center" vertical="center" wrapText="1"/>
    </xf>
    <xf numFmtId="0" fontId="38" fillId="25" borderId="14" xfId="0" applyFont="1" applyFill="1" applyBorder="1" applyAlignment="1">
      <alignment horizontal="left" vertical="center" wrapText="1"/>
    </xf>
    <xf numFmtId="0" fontId="38" fillId="25" borderId="12" xfId="0" applyFont="1" applyFill="1" applyBorder="1" applyAlignment="1">
      <alignment horizontal="left" vertical="center" wrapText="1"/>
    </xf>
    <xf numFmtId="0" fontId="38" fillId="25" borderId="17" xfId="0" applyFont="1" applyFill="1" applyBorder="1" applyAlignment="1">
      <alignment horizontal="left" vertical="center" wrapText="1"/>
    </xf>
    <xf numFmtId="0" fontId="38" fillId="25" borderId="18" xfId="0" applyFont="1" applyFill="1" applyBorder="1" applyAlignment="1">
      <alignment horizontal="left" vertical="center" wrapText="1"/>
    </xf>
    <xf numFmtId="0" fontId="38" fillId="25" borderId="80" xfId="0" applyFont="1" applyFill="1" applyBorder="1" applyAlignment="1">
      <alignment horizontal="left" vertical="center" wrapText="1"/>
    </xf>
    <xf numFmtId="0" fontId="96" fillId="0" borderId="196" xfId="0" applyFont="1" applyBorder="1" applyAlignment="1">
      <alignment horizontal="left" vertical="center" wrapText="1"/>
    </xf>
    <xf numFmtId="0" fontId="49" fillId="25" borderId="40" xfId="0" applyFont="1" applyFill="1" applyBorder="1" applyAlignment="1">
      <alignment horizontal="center" vertical="center" wrapText="1"/>
    </xf>
    <xf numFmtId="0" fontId="49" fillId="25" borderId="143" xfId="0" applyFont="1" applyFill="1" applyBorder="1" applyAlignment="1">
      <alignment horizontal="center" vertical="center" wrapText="1"/>
    </xf>
    <xf numFmtId="0" fontId="49" fillId="25" borderId="160" xfId="0" applyFont="1" applyFill="1" applyBorder="1" applyAlignment="1">
      <alignment horizontal="center" vertical="center" wrapText="1"/>
    </xf>
    <xf numFmtId="0" fontId="49" fillId="25" borderId="156" xfId="0" applyFont="1" applyFill="1" applyBorder="1" applyAlignment="1">
      <alignment horizontal="center" vertical="center" wrapText="1"/>
    </xf>
    <xf numFmtId="0" fontId="72" fillId="0" borderId="109" xfId="0" applyFont="1" applyBorder="1" applyAlignment="1">
      <alignment horizontal="center" vertical="center" wrapText="1"/>
    </xf>
    <xf numFmtId="0" fontId="95" fillId="25" borderId="183" xfId="0" applyFont="1" applyFill="1" applyBorder="1" applyAlignment="1">
      <alignment horizontal="right" vertical="center"/>
    </xf>
    <xf numFmtId="0" fontId="95" fillId="0" borderId="187" xfId="0" applyFont="1" applyBorder="1" applyAlignment="1">
      <alignment horizontal="left" vertical="center" wrapText="1"/>
    </xf>
    <xf numFmtId="0" fontId="95" fillId="0" borderId="183" xfId="0" applyFont="1" applyBorder="1" applyAlignment="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lignment horizontal="center" vertical="center" wrapText="1"/>
    </xf>
    <xf numFmtId="0" fontId="96" fillId="0" borderId="186" xfId="0" applyFont="1" applyBorder="1" applyAlignment="1">
      <alignment horizontal="center" vertical="center" wrapText="1"/>
    </xf>
    <xf numFmtId="0" fontId="96" fillId="0" borderId="199" xfId="0" applyFont="1" applyBorder="1" applyAlignment="1">
      <alignment horizontal="center" vertical="center"/>
    </xf>
    <xf numFmtId="0" fontId="96" fillId="0" borderId="194" xfId="0" applyFont="1" applyBorder="1" applyAlignment="1">
      <alignment horizontal="center" vertical="center"/>
    </xf>
    <xf numFmtId="0" fontId="96" fillId="0" borderId="197" xfId="0" applyFont="1" applyBorder="1" applyAlignment="1">
      <alignment horizontal="center" vertical="center"/>
    </xf>
    <xf numFmtId="0" fontId="96" fillId="0" borderId="198" xfId="0" applyFont="1" applyBorder="1" applyAlignment="1">
      <alignment horizontal="center" vertical="center"/>
    </xf>
    <xf numFmtId="0" fontId="96" fillId="0" borderId="190" xfId="0" applyFont="1" applyBorder="1" applyAlignment="1">
      <alignment horizontal="center" vertical="center"/>
    </xf>
    <xf numFmtId="0" fontId="96" fillId="0" borderId="195" xfId="0" applyFont="1" applyBorder="1" applyAlignment="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lignment horizontal="right" vertical="center"/>
    </xf>
    <xf numFmtId="177" fontId="72" fillId="25" borderId="155" xfId="0" applyNumberFormat="1" applyFont="1" applyFill="1" applyBorder="1" applyAlignment="1">
      <alignment horizontal="right" vertical="center"/>
    </xf>
    <xf numFmtId="177" fontId="49" fillId="0" borderId="182" xfId="0" applyNumberFormat="1" applyFont="1" applyBorder="1" applyAlignment="1">
      <alignment horizontal="center" vertical="center"/>
    </xf>
    <xf numFmtId="177" fontId="49" fillId="0" borderId="151" xfId="0" applyNumberFormat="1" applyFont="1" applyBorder="1" applyAlignment="1">
      <alignment horizontal="center" vertical="center"/>
    </xf>
    <xf numFmtId="177" fontId="49" fillId="25" borderId="13" xfId="0" applyNumberFormat="1" applyFont="1" applyFill="1" applyBorder="1" applyAlignment="1">
      <alignment horizontal="right" vertical="center"/>
    </xf>
    <xf numFmtId="177" fontId="49" fillId="25" borderId="145" xfId="0" applyNumberFormat="1" applyFont="1" applyFill="1" applyBorder="1" applyAlignment="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lignment horizontal="right" vertical="center"/>
    </xf>
    <xf numFmtId="177" fontId="49" fillId="0" borderId="75" xfId="0" applyNumberFormat="1" applyFont="1" applyBorder="1" applyAlignment="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lignment horizontal="right" vertical="center"/>
    </xf>
    <xf numFmtId="177" fontId="49" fillId="0" borderId="17" xfId="0" applyNumberFormat="1" applyFont="1" applyBorder="1" applyAlignment="1">
      <alignment horizontal="right" vertical="center"/>
    </xf>
    <xf numFmtId="177" fontId="72" fillId="0" borderId="142" xfId="0" applyNumberFormat="1" applyFont="1" applyBorder="1" applyAlignment="1">
      <alignment horizontal="right" vertical="center"/>
    </xf>
    <xf numFmtId="177" fontId="72" fillId="0" borderId="17" xfId="0" applyNumberFormat="1" applyFont="1" applyBorder="1" applyAlignment="1">
      <alignment horizontal="right" vertical="center"/>
    </xf>
    <xf numFmtId="177" fontId="49" fillId="0" borderId="40" xfId="0" applyNumberFormat="1" applyFont="1" applyBorder="1" applyAlignment="1">
      <alignment horizontal="right" vertical="center"/>
    </xf>
    <xf numFmtId="177" fontId="49" fillId="0" borderId="101" xfId="0" applyNumberFormat="1" applyFont="1" applyBorder="1" applyAlignment="1">
      <alignment horizontal="right" vertical="center"/>
    </xf>
    <xf numFmtId="177" fontId="49" fillId="0" borderId="180" xfId="0" applyNumberFormat="1" applyFont="1" applyBorder="1" applyAlignment="1">
      <alignment horizontal="center" vertical="center"/>
    </xf>
    <xf numFmtId="177" fontId="49" fillId="0" borderId="181" xfId="0" applyNumberFormat="1" applyFont="1" applyBorder="1" applyAlignment="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lignment horizontal="center" vertical="center" wrapText="1"/>
    </xf>
    <xf numFmtId="0" fontId="72" fillId="25" borderId="155" xfId="0" applyFont="1" applyFill="1" applyBorder="1" applyAlignment="1">
      <alignment horizontal="center" vertical="center" wrapText="1"/>
    </xf>
    <xf numFmtId="0" fontId="49" fillId="25" borderId="76" xfId="0" applyFont="1" applyFill="1" applyBorder="1" applyAlignment="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lignment horizontal="center" vertical="center"/>
    </xf>
    <xf numFmtId="0" fontId="49" fillId="25" borderId="32" xfId="0" applyFont="1" applyFill="1" applyBorder="1" applyAlignment="1">
      <alignment horizontal="center" vertical="center"/>
    </xf>
    <xf numFmtId="0" fontId="49" fillId="25" borderId="16" xfId="0" applyFont="1" applyFill="1" applyBorder="1" applyAlignment="1">
      <alignment horizontal="center" vertical="center"/>
    </xf>
    <xf numFmtId="0" fontId="49" fillId="25" borderId="32" xfId="0" applyFont="1" applyFill="1" applyBorder="1" applyAlignment="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lignment horizontal="center" vertical="center" wrapText="1"/>
    </xf>
    <xf numFmtId="0" fontId="95" fillId="0" borderId="204" xfId="0" applyFont="1" applyBorder="1" applyAlignment="1">
      <alignment horizontal="center" vertical="center" wrapText="1"/>
    </xf>
    <xf numFmtId="0" fontId="95" fillId="0" borderId="205" xfId="0" applyFont="1" applyBorder="1" applyAlignment="1">
      <alignment horizontal="center" vertical="center" wrapText="1"/>
    </xf>
    <xf numFmtId="0" fontId="95" fillId="0" borderId="206" xfId="0" applyFont="1" applyBorder="1" applyAlignment="1">
      <alignment horizontal="center" vertical="center" wrapText="1"/>
    </xf>
    <xf numFmtId="0" fontId="95" fillId="0" borderId="196" xfId="0" applyFont="1" applyBorder="1" applyAlignment="1">
      <alignment horizontal="center" vertical="center" wrapText="1"/>
    </xf>
    <xf numFmtId="0" fontId="95" fillId="0" borderId="207" xfId="0" applyFont="1" applyBorder="1" applyAlignment="1">
      <alignment horizontal="center" vertical="center" wrapText="1"/>
    </xf>
    <xf numFmtId="0" fontId="38" fillId="25" borderId="20" xfId="0" applyFont="1" applyFill="1" applyBorder="1" applyAlignment="1">
      <alignment horizontal="left" vertical="center"/>
    </xf>
    <xf numFmtId="0" fontId="38" fillId="25" borderId="37" xfId="0" applyFont="1" applyFill="1" applyBorder="1" applyAlignment="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0288" y="41402000"/>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0288" y="33702625"/>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0288" y="40417450"/>
              <a:ext cx="179387" cy="984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0288" y="33615313"/>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2906" y="181309"/>
          <a:ext cx="4579870"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0288" y="41402000"/>
              <a:ext cx="17938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1453" y="164576"/>
          <a:ext cx="6953685" cy="356287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tabSelected="1" view="pageBreakPreview" zoomScale="106" zoomScaleNormal="100" zoomScaleSheetLayoutView="106" workbookViewId="0">
      <selection activeCell="C54" sqref="C54:L54"/>
    </sheetView>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4.625" customWidth="1"/>
    <col min="30" max="30" width="9" hidden="1" customWidth="1"/>
    <col min="31" max="32" width="9" customWidth="1"/>
  </cols>
  <sheetData>
    <row r="1" spans="1:28" ht="20.100000000000001" customHeight="1">
      <c r="A1" s="335" t="s">
        <v>2202</v>
      </c>
    </row>
    <row r="2" spans="1:28" ht="9" customHeight="1">
      <c r="A2" s="292"/>
    </row>
    <row r="3" spans="1:28" ht="20.100000000000001" customHeight="1">
      <c r="A3" s="336" t="s">
        <v>122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8" s="337" customFormat="1" ht="37.5" customHeight="1">
      <c r="A4" s="716" t="s">
        <v>130</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row>
    <row r="5" spans="1:28" ht="6" customHeight="1">
      <c r="A5" s="33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row>
    <row r="6" spans="1:28" ht="35.25" customHeight="1">
      <c r="A6" s="674" t="s">
        <v>2207</v>
      </c>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row>
    <row r="7" spans="1:28" ht="12" customHeight="1">
      <c r="A7" s="338"/>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row>
    <row r="8" spans="1:28" ht="20.100000000000001" customHeight="1">
      <c r="A8" s="33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28" ht="20.100000000000001" customHeight="1">
      <c r="A9" s="336"/>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row>
    <row r="10" spans="1:28" ht="20.100000000000001" customHeight="1">
      <c r="A10" s="336"/>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row>
    <row r="11" spans="1:28" ht="20.100000000000001" customHeight="1">
      <c r="A11" s="336"/>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row>
    <row r="12" spans="1:28" ht="20.100000000000001" customHeight="1">
      <c r="A12" s="336"/>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row>
    <row r="13" spans="1:28" ht="20.100000000000001" customHeight="1">
      <c r="A13" s="336"/>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row>
    <row r="14" spans="1:28" ht="13.5" customHeight="1">
      <c r="A14" s="336"/>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row>
    <row r="15" spans="1:28" ht="35.25" customHeight="1">
      <c r="A15" s="717" t="s">
        <v>2208</v>
      </c>
      <c r="B15" s="717"/>
      <c r="C15" s="717"/>
      <c r="D15" s="717"/>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row>
    <row r="16" spans="1:28" ht="13.5" customHeight="1">
      <c r="A16" s="336"/>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row>
    <row r="17" spans="1:30" ht="13.5" customHeight="1">
      <c r="A17" s="336"/>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row>
    <row r="18" spans="1:30" ht="13.5" customHeight="1">
      <c r="A18" s="33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row>
    <row r="19" spans="1:30" ht="13.5" customHeight="1">
      <c r="A19" s="336"/>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row>
    <row r="20" spans="1:30" ht="13.5" customHeight="1">
      <c r="A20" s="336"/>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row>
    <row r="21" spans="1:30" ht="13.5" customHeight="1">
      <c r="A21" s="33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row>
    <row r="22" spans="1:30" ht="13.5" customHeight="1">
      <c r="A22" s="336"/>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row>
    <row r="23" spans="1:30" ht="13.5" customHeight="1">
      <c r="A23" s="33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row>
    <row r="24" spans="1:30" ht="13.5" customHeight="1">
      <c r="A24" s="33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row>
    <row r="25" spans="1:30" ht="13.5" customHeight="1">
      <c r="A25" s="33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row>
    <row r="26" spans="1:30" ht="13.5" customHeight="1">
      <c r="A26" s="33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row>
    <row r="27" spans="1:30" ht="13.5" customHeight="1">
      <c r="A27" s="33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row>
    <row r="28" spans="1:30" ht="13.5" customHeight="1">
      <c r="A28" s="33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row>
    <row r="29" spans="1:30" ht="13.5" customHeight="1">
      <c r="A29" s="33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row>
    <row r="30" spans="1:30" ht="13.5" customHeight="1">
      <c r="A30" s="33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row>
    <row r="31" spans="1:30" ht="20.100000000000001" customHeight="1">
      <c r="A31" s="339" t="s">
        <v>73</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row>
    <row r="32" spans="1:30" ht="20.100000000000001" customHeight="1" thickBot="1">
      <c r="A32" s="117"/>
      <c r="B32" s="336" t="s">
        <v>2112</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D32" s="340" t="s">
        <v>58</v>
      </c>
    </row>
    <row r="33" spans="1:30" ht="20.100000000000001" customHeight="1" thickBot="1">
      <c r="A33" s="117"/>
      <c r="B33" s="341" t="s">
        <v>113</v>
      </c>
      <c r="C33" s="752"/>
      <c r="D33" s="753"/>
      <c r="E33" s="753"/>
      <c r="F33" s="753"/>
      <c r="G33" s="753"/>
      <c r="H33" s="753"/>
      <c r="I33" s="753"/>
      <c r="J33" s="753"/>
      <c r="K33" s="753"/>
      <c r="L33" s="754"/>
      <c r="M33" s="117"/>
      <c r="N33" s="117"/>
      <c r="O33" s="117"/>
      <c r="P33" s="117"/>
      <c r="Q33" s="117"/>
      <c r="R33" s="117"/>
      <c r="S33" s="117"/>
      <c r="T33" s="117"/>
      <c r="U33" s="117"/>
      <c r="V33" s="117"/>
      <c r="W33" s="117"/>
      <c r="X33" s="117"/>
      <c r="Y33" s="117"/>
      <c r="Z33" s="117"/>
      <c r="AA33" s="117"/>
      <c r="AB33" s="117"/>
      <c r="AD33" s="340" t="str">
        <f>CONCATENATE(M39,N39,O39,P39,Q39,R39,S39,T39)</f>
        <v>－</v>
      </c>
    </row>
    <row r="34" spans="1:30" ht="13.5" customHeight="1">
      <c r="A34" s="117"/>
      <c r="B34" s="342"/>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row>
    <row r="35" spans="1:30" ht="20.100000000000001" customHeight="1">
      <c r="A35" s="339" t="s">
        <v>74</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row>
    <row r="36" spans="1:30" ht="20.100000000000001" customHeight="1" thickBot="1">
      <c r="A36" s="117"/>
      <c r="B36" s="336" t="s">
        <v>127</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row>
    <row r="37" spans="1:30" ht="20.100000000000001" customHeight="1">
      <c r="A37" s="117"/>
      <c r="B37" s="344" t="s">
        <v>5</v>
      </c>
      <c r="C37" s="688" t="s">
        <v>7</v>
      </c>
      <c r="D37" s="688"/>
      <c r="E37" s="688"/>
      <c r="F37" s="688"/>
      <c r="G37" s="688"/>
      <c r="H37" s="688"/>
      <c r="I37" s="688"/>
      <c r="J37" s="688"/>
      <c r="K37" s="688"/>
      <c r="L37" s="689"/>
      <c r="M37" s="733"/>
      <c r="N37" s="734"/>
      <c r="O37" s="734"/>
      <c r="P37" s="734"/>
      <c r="Q37" s="734"/>
      <c r="R37" s="734"/>
      <c r="S37" s="734"/>
      <c r="T37" s="734"/>
      <c r="U37" s="734"/>
      <c r="V37" s="734"/>
      <c r="W37" s="735"/>
      <c r="X37" s="736"/>
      <c r="Y37" s="117"/>
      <c r="Z37" s="117"/>
      <c r="AA37" s="117"/>
      <c r="AB37" s="117"/>
    </row>
    <row r="38" spans="1:30" ht="20.100000000000001" customHeight="1" thickBot="1">
      <c r="A38" s="117"/>
      <c r="B38" s="345"/>
      <c r="C38" s="688" t="s">
        <v>48</v>
      </c>
      <c r="D38" s="688"/>
      <c r="E38" s="688"/>
      <c r="F38" s="688"/>
      <c r="G38" s="688"/>
      <c r="H38" s="688"/>
      <c r="I38" s="688"/>
      <c r="J38" s="688"/>
      <c r="K38" s="688"/>
      <c r="L38" s="689"/>
      <c r="M38" s="737"/>
      <c r="N38" s="738"/>
      <c r="O38" s="738"/>
      <c r="P38" s="738"/>
      <c r="Q38" s="738"/>
      <c r="R38" s="738"/>
      <c r="S38" s="738"/>
      <c r="T38" s="738"/>
      <c r="U38" s="738"/>
      <c r="V38" s="738"/>
      <c r="W38" s="738"/>
      <c r="X38" s="739"/>
      <c r="Y38" s="117"/>
      <c r="Z38" s="117"/>
      <c r="AA38" s="117"/>
      <c r="AB38" s="117"/>
    </row>
    <row r="39" spans="1:30" ht="20.100000000000001" customHeight="1" thickBot="1">
      <c r="A39" s="117"/>
      <c r="B39" s="344" t="s">
        <v>49</v>
      </c>
      <c r="C39" s="688" t="s">
        <v>6</v>
      </c>
      <c r="D39" s="688"/>
      <c r="E39" s="688"/>
      <c r="F39" s="688"/>
      <c r="G39" s="688"/>
      <c r="H39" s="688"/>
      <c r="I39" s="688"/>
      <c r="J39" s="688"/>
      <c r="K39" s="688"/>
      <c r="L39" s="689"/>
      <c r="M39" s="8"/>
      <c r="N39" s="9"/>
      <c r="O39" s="9"/>
      <c r="P39" s="346" t="s">
        <v>54</v>
      </c>
      <c r="Q39" s="9"/>
      <c r="R39" s="9"/>
      <c r="S39" s="9"/>
      <c r="T39" s="10"/>
      <c r="U39" s="347"/>
      <c r="V39" s="348"/>
      <c r="W39" s="348"/>
      <c r="X39" s="348"/>
      <c r="Y39" s="117"/>
      <c r="Z39" s="117"/>
      <c r="AA39" s="117"/>
      <c r="AB39" s="117"/>
    </row>
    <row r="40" spans="1:30" ht="20.100000000000001" customHeight="1">
      <c r="A40" s="117"/>
      <c r="B40" s="349"/>
      <c r="C40" s="688" t="s">
        <v>52</v>
      </c>
      <c r="D40" s="688"/>
      <c r="E40" s="688"/>
      <c r="F40" s="688"/>
      <c r="G40" s="688"/>
      <c r="H40" s="688"/>
      <c r="I40" s="688"/>
      <c r="J40" s="688"/>
      <c r="K40" s="688"/>
      <c r="L40" s="689"/>
      <c r="M40" s="740"/>
      <c r="N40" s="741"/>
      <c r="O40" s="741"/>
      <c r="P40" s="741"/>
      <c r="Q40" s="741"/>
      <c r="R40" s="741"/>
      <c r="S40" s="741"/>
      <c r="T40" s="741"/>
      <c r="U40" s="742"/>
      <c r="V40" s="742"/>
      <c r="W40" s="743"/>
      <c r="X40" s="744"/>
      <c r="Y40" s="117"/>
      <c r="Z40" s="117"/>
      <c r="AA40" s="117"/>
      <c r="AB40" s="117"/>
    </row>
    <row r="41" spans="1:30" ht="20.100000000000001" customHeight="1">
      <c r="A41" s="117"/>
      <c r="B41" s="345"/>
      <c r="C41" s="688" t="s">
        <v>53</v>
      </c>
      <c r="D41" s="688"/>
      <c r="E41" s="688"/>
      <c r="F41" s="688"/>
      <c r="G41" s="688"/>
      <c r="H41" s="688"/>
      <c r="I41" s="688"/>
      <c r="J41" s="688"/>
      <c r="K41" s="688"/>
      <c r="L41" s="689"/>
      <c r="M41" s="740"/>
      <c r="N41" s="741"/>
      <c r="O41" s="741"/>
      <c r="P41" s="741"/>
      <c r="Q41" s="741"/>
      <c r="R41" s="741"/>
      <c r="S41" s="741"/>
      <c r="T41" s="741"/>
      <c r="U41" s="741"/>
      <c r="V41" s="741"/>
      <c r="W41" s="745"/>
      <c r="X41" s="746"/>
      <c r="Y41" s="117"/>
      <c r="Z41" s="117"/>
      <c r="AA41" s="117"/>
      <c r="AB41" s="117"/>
    </row>
    <row r="42" spans="1:30" ht="20.100000000000001" customHeight="1">
      <c r="A42" s="117"/>
      <c r="B42" s="344" t="s">
        <v>50</v>
      </c>
      <c r="C42" s="688" t="s">
        <v>45</v>
      </c>
      <c r="D42" s="688"/>
      <c r="E42" s="688"/>
      <c r="F42" s="688"/>
      <c r="G42" s="688"/>
      <c r="H42" s="688"/>
      <c r="I42" s="688"/>
      <c r="J42" s="688"/>
      <c r="K42" s="688"/>
      <c r="L42" s="689"/>
      <c r="M42" s="684"/>
      <c r="N42" s="685"/>
      <c r="O42" s="685"/>
      <c r="P42" s="685"/>
      <c r="Q42" s="685"/>
      <c r="R42" s="685"/>
      <c r="S42" s="685"/>
      <c r="T42" s="685"/>
      <c r="U42" s="685"/>
      <c r="V42" s="685"/>
      <c r="W42" s="686"/>
      <c r="X42" s="687"/>
      <c r="Y42" s="117"/>
      <c r="Z42" s="117"/>
      <c r="AA42" s="117"/>
      <c r="AB42" s="117"/>
    </row>
    <row r="43" spans="1:30" ht="20.100000000000001" customHeight="1">
      <c r="A43" s="117"/>
      <c r="B43" s="345"/>
      <c r="C43" s="688" t="s">
        <v>46</v>
      </c>
      <c r="D43" s="688"/>
      <c r="E43" s="688"/>
      <c r="F43" s="688"/>
      <c r="G43" s="688"/>
      <c r="H43" s="688"/>
      <c r="I43" s="688"/>
      <c r="J43" s="688"/>
      <c r="K43" s="688"/>
      <c r="L43" s="689"/>
      <c r="M43" s="701"/>
      <c r="N43" s="702"/>
      <c r="O43" s="702"/>
      <c r="P43" s="702"/>
      <c r="Q43" s="702"/>
      <c r="R43" s="702"/>
      <c r="S43" s="702"/>
      <c r="T43" s="702"/>
      <c r="U43" s="702"/>
      <c r="V43" s="702"/>
      <c r="W43" s="703"/>
      <c r="X43" s="704"/>
      <c r="Y43" s="117"/>
      <c r="Z43" s="117"/>
      <c r="AA43" s="117"/>
      <c r="AB43" s="117"/>
    </row>
    <row r="44" spans="1:30" ht="20.100000000000001" customHeight="1">
      <c r="A44" s="117"/>
      <c r="B44" s="705" t="s">
        <v>68</v>
      </c>
      <c r="C44" s="688" t="s">
        <v>7</v>
      </c>
      <c r="D44" s="688"/>
      <c r="E44" s="688"/>
      <c r="F44" s="688"/>
      <c r="G44" s="688"/>
      <c r="H44" s="688"/>
      <c r="I44" s="688"/>
      <c r="J44" s="688"/>
      <c r="K44" s="688"/>
      <c r="L44" s="689"/>
      <c r="M44" s="684"/>
      <c r="N44" s="685"/>
      <c r="O44" s="685"/>
      <c r="P44" s="685"/>
      <c r="Q44" s="685"/>
      <c r="R44" s="685"/>
      <c r="S44" s="685"/>
      <c r="T44" s="685"/>
      <c r="U44" s="685"/>
      <c r="V44" s="685"/>
      <c r="W44" s="686"/>
      <c r="X44" s="687"/>
      <c r="Y44" s="117"/>
      <c r="Z44" s="117"/>
      <c r="AA44" s="117"/>
      <c r="AB44" s="117"/>
    </row>
    <row r="45" spans="1:30" ht="20.100000000000001" customHeight="1">
      <c r="A45" s="117"/>
      <c r="B45" s="706"/>
      <c r="C45" s="755" t="s">
        <v>46</v>
      </c>
      <c r="D45" s="755"/>
      <c r="E45" s="755"/>
      <c r="F45" s="755"/>
      <c r="G45" s="755"/>
      <c r="H45" s="755"/>
      <c r="I45" s="755"/>
      <c r="J45" s="755"/>
      <c r="K45" s="755"/>
      <c r="L45" s="755"/>
      <c r="M45" s="684"/>
      <c r="N45" s="685"/>
      <c r="O45" s="685"/>
      <c r="P45" s="685"/>
      <c r="Q45" s="685"/>
      <c r="R45" s="685"/>
      <c r="S45" s="685"/>
      <c r="T45" s="685"/>
      <c r="U45" s="685"/>
      <c r="V45" s="685"/>
      <c r="W45" s="686"/>
      <c r="X45" s="687"/>
      <c r="Y45" s="117"/>
      <c r="Z45" s="117"/>
      <c r="AA45" s="117"/>
      <c r="AB45" s="117"/>
    </row>
    <row r="46" spans="1:30" ht="20.100000000000001" customHeight="1">
      <c r="A46" s="117"/>
      <c r="B46" s="344" t="s">
        <v>67</v>
      </c>
      <c r="C46" s="688" t="s">
        <v>0</v>
      </c>
      <c r="D46" s="688"/>
      <c r="E46" s="688"/>
      <c r="F46" s="688"/>
      <c r="G46" s="688"/>
      <c r="H46" s="688"/>
      <c r="I46" s="688"/>
      <c r="J46" s="688"/>
      <c r="K46" s="688"/>
      <c r="L46" s="689"/>
      <c r="M46" s="747"/>
      <c r="N46" s="748"/>
      <c r="O46" s="748"/>
      <c r="P46" s="748"/>
      <c r="Q46" s="748"/>
      <c r="R46" s="748"/>
      <c r="S46" s="748"/>
      <c r="T46" s="748"/>
      <c r="U46" s="748"/>
      <c r="V46" s="748"/>
      <c r="W46" s="749"/>
      <c r="X46" s="750"/>
      <c r="Y46" s="117"/>
      <c r="Z46" s="117"/>
      <c r="AA46" s="117"/>
      <c r="AB46" s="117"/>
    </row>
    <row r="47" spans="1:30" ht="20.100000000000001" customHeight="1" thickBot="1">
      <c r="A47" s="117"/>
      <c r="B47" s="350"/>
      <c r="C47" s="688" t="s">
        <v>64</v>
      </c>
      <c r="D47" s="688"/>
      <c r="E47" s="688"/>
      <c r="F47" s="688"/>
      <c r="G47" s="688"/>
      <c r="H47" s="688"/>
      <c r="I47" s="688"/>
      <c r="J47" s="688"/>
      <c r="K47" s="688"/>
      <c r="L47" s="689"/>
      <c r="M47" s="693"/>
      <c r="N47" s="694"/>
      <c r="O47" s="694"/>
      <c r="P47" s="694"/>
      <c r="Q47" s="694"/>
      <c r="R47" s="694"/>
      <c r="S47" s="694"/>
      <c r="T47" s="694"/>
      <c r="U47" s="694"/>
      <c r="V47" s="694"/>
      <c r="W47" s="695"/>
      <c r="X47" s="696"/>
      <c r="Y47" s="117"/>
      <c r="Z47" s="117"/>
      <c r="AA47" s="117"/>
      <c r="AB47" s="117"/>
    </row>
    <row r="48" spans="1:30" ht="20.100000000000001"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row>
    <row r="49" spans="1:29" ht="20.100000000000001" customHeight="1">
      <c r="A49" s="339" t="s">
        <v>115</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row>
    <row r="50" spans="1:29" ht="20.100000000000001" customHeight="1">
      <c r="A50" s="117"/>
      <c r="B50" s="336" t="s">
        <v>2145</v>
      </c>
      <c r="C50" s="117"/>
      <c r="D50" s="117"/>
      <c r="E50" s="117"/>
      <c r="F50" s="117"/>
      <c r="G50" s="117"/>
      <c r="H50" s="117"/>
      <c r="I50" s="117"/>
      <c r="J50" s="117"/>
      <c r="K50" s="117"/>
      <c r="L50" s="117"/>
      <c r="M50" s="117"/>
      <c r="N50" s="117"/>
      <c r="O50" s="117"/>
      <c r="P50" s="117"/>
      <c r="Q50" s="117"/>
      <c r="R50" s="117"/>
      <c r="S50" s="117"/>
      <c r="T50" s="117"/>
      <c r="U50" s="117"/>
      <c r="V50" s="117"/>
      <c r="W50" s="117"/>
      <c r="X50" s="351"/>
      <c r="Y50" s="117"/>
      <c r="Z50" s="117"/>
      <c r="AA50" s="117"/>
      <c r="AB50" s="117"/>
    </row>
    <row r="51" spans="1:29" ht="62.25" customHeight="1">
      <c r="A51" s="117"/>
      <c r="B51" s="751" t="s">
        <v>2213</v>
      </c>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352"/>
    </row>
    <row r="52" spans="1:29" ht="27" customHeight="1">
      <c r="A52" s="117"/>
      <c r="B52" s="719" t="s">
        <v>51</v>
      </c>
      <c r="C52" s="725" t="s">
        <v>2209</v>
      </c>
      <c r="D52" s="726"/>
      <c r="E52" s="726"/>
      <c r="F52" s="726"/>
      <c r="G52" s="726"/>
      <c r="H52" s="726"/>
      <c r="I52" s="726"/>
      <c r="J52" s="726"/>
      <c r="K52" s="726"/>
      <c r="L52" s="727"/>
      <c r="M52" s="731" t="s">
        <v>55</v>
      </c>
      <c r="N52" s="726"/>
      <c r="O52" s="726"/>
      <c r="P52" s="726"/>
      <c r="Q52" s="727"/>
      <c r="R52" s="721" t="s">
        <v>79</v>
      </c>
      <c r="S52" s="722"/>
      <c r="T52" s="722"/>
      <c r="U52" s="722"/>
      <c r="V52" s="722"/>
      <c r="W52" s="723"/>
      <c r="X52" s="719" t="s">
        <v>56</v>
      </c>
      <c r="Y52" s="719" t="s">
        <v>57</v>
      </c>
      <c r="Z52" s="675" t="s">
        <v>2210</v>
      </c>
      <c r="AA52" s="675" t="s">
        <v>2211</v>
      </c>
      <c r="AB52" s="675" t="s">
        <v>2212</v>
      </c>
      <c r="AC52" s="718"/>
    </row>
    <row r="53" spans="1:29" ht="32.25" customHeight="1" thickBot="1">
      <c r="A53" s="117"/>
      <c r="B53" s="724"/>
      <c r="C53" s="728"/>
      <c r="D53" s="728"/>
      <c r="E53" s="728"/>
      <c r="F53" s="728"/>
      <c r="G53" s="728"/>
      <c r="H53" s="728"/>
      <c r="I53" s="728"/>
      <c r="J53" s="728"/>
      <c r="K53" s="728"/>
      <c r="L53" s="729"/>
      <c r="M53" s="732"/>
      <c r="N53" s="728"/>
      <c r="O53" s="728"/>
      <c r="P53" s="728"/>
      <c r="Q53" s="729"/>
      <c r="R53" s="730" t="s">
        <v>81</v>
      </c>
      <c r="S53" s="720"/>
      <c r="T53" s="720"/>
      <c r="U53" s="720"/>
      <c r="V53" s="720"/>
      <c r="W53" s="353" t="s">
        <v>82</v>
      </c>
      <c r="X53" s="720"/>
      <c r="Y53" s="720"/>
      <c r="Z53" s="676"/>
      <c r="AA53" s="676"/>
      <c r="AB53" s="676"/>
      <c r="AC53" s="718"/>
    </row>
    <row r="54" spans="1:29" ht="37.5" customHeight="1">
      <c r="A54" s="117"/>
      <c r="B54" s="341">
        <v>1</v>
      </c>
      <c r="C54" s="713"/>
      <c r="D54" s="714"/>
      <c r="E54" s="714"/>
      <c r="F54" s="714"/>
      <c r="G54" s="714"/>
      <c r="H54" s="714"/>
      <c r="I54" s="714"/>
      <c r="J54" s="714"/>
      <c r="K54" s="714"/>
      <c r="L54" s="715"/>
      <c r="M54" s="707"/>
      <c r="N54" s="708"/>
      <c r="O54" s="708"/>
      <c r="P54" s="708"/>
      <c r="Q54" s="709"/>
      <c r="R54" s="707"/>
      <c r="S54" s="708"/>
      <c r="T54" s="708"/>
      <c r="U54" s="708"/>
      <c r="V54" s="709"/>
      <c r="W54" s="57"/>
      <c r="X54" s="11"/>
      <c r="Y54" s="11"/>
      <c r="Z54" s="12"/>
      <c r="AA54" s="18"/>
      <c r="AB54" s="588" t="str">
        <f>IF(Z54-AA54=0,"",Z54-AA54)</f>
        <v/>
      </c>
      <c r="AC54" s="354"/>
    </row>
    <row r="55" spans="1:29" ht="37.5" customHeight="1">
      <c r="A55" s="117"/>
      <c r="B55" s="341">
        <f>B54+1</f>
        <v>2</v>
      </c>
      <c r="C55" s="697"/>
      <c r="D55" s="698"/>
      <c r="E55" s="698"/>
      <c r="F55" s="698"/>
      <c r="G55" s="698"/>
      <c r="H55" s="698"/>
      <c r="I55" s="698"/>
      <c r="J55" s="698"/>
      <c r="K55" s="698"/>
      <c r="L55" s="699"/>
      <c r="M55" s="710"/>
      <c r="N55" s="711"/>
      <c r="O55" s="711"/>
      <c r="P55" s="711"/>
      <c r="Q55" s="712"/>
      <c r="R55" s="690"/>
      <c r="S55" s="691"/>
      <c r="T55" s="691"/>
      <c r="U55" s="691"/>
      <c r="V55" s="692"/>
      <c r="W55" s="584"/>
      <c r="X55" s="13"/>
      <c r="Y55" s="13"/>
      <c r="Z55" s="14"/>
      <c r="AA55" s="19"/>
      <c r="AB55" s="589" t="str">
        <f>IF(Z55-AA55=0,"",Z55-AA55)</f>
        <v/>
      </c>
      <c r="AC55" s="354"/>
    </row>
    <row r="56" spans="1:29" ht="37.5" customHeight="1">
      <c r="A56" s="117"/>
      <c r="B56" s="341">
        <f t="shared" ref="B56:B92" si="0">B55+1</f>
        <v>3</v>
      </c>
      <c r="C56" s="697"/>
      <c r="D56" s="698"/>
      <c r="E56" s="698"/>
      <c r="F56" s="698"/>
      <c r="G56" s="698"/>
      <c r="H56" s="698"/>
      <c r="I56" s="698"/>
      <c r="J56" s="698"/>
      <c r="K56" s="698"/>
      <c r="L56" s="699"/>
      <c r="M56" s="690"/>
      <c r="N56" s="691"/>
      <c r="O56" s="691"/>
      <c r="P56" s="691"/>
      <c r="Q56" s="692"/>
      <c r="R56" s="690"/>
      <c r="S56" s="691"/>
      <c r="T56" s="691"/>
      <c r="U56" s="691"/>
      <c r="V56" s="692"/>
      <c r="W56" s="584"/>
      <c r="X56" s="13"/>
      <c r="Y56" s="13"/>
      <c r="Z56" s="15"/>
      <c r="AA56" s="20"/>
      <c r="AB56" s="589" t="str">
        <f t="shared" ref="AB56:AB119" si="1">IF(Z56-AA56=0,"",Z56-AA56)</f>
        <v/>
      </c>
      <c r="AC56" s="354"/>
    </row>
    <row r="57" spans="1:29" ht="37.5" customHeight="1">
      <c r="A57" s="117"/>
      <c r="B57" s="341">
        <f t="shared" si="0"/>
        <v>4</v>
      </c>
      <c r="C57" s="697"/>
      <c r="D57" s="698"/>
      <c r="E57" s="698"/>
      <c r="F57" s="698"/>
      <c r="G57" s="698"/>
      <c r="H57" s="698"/>
      <c r="I57" s="698"/>
      <c r="J57" s="698"/>
      <c r="K57" s="698"/>
      <c r="L57" s="699"/>
      <c r="M57" s="690"/>
      <c r="N57" s="691"/>
      <c r="O57" s="691"/>
      <c r="P57" s="691"/>
      <c r="Q57" s="692"/>
      <c r="R57" s="690"/>
      <c r="S57" s="691"/>
      <c r="T57" s="691"/>
      <c r="U57" s="691"/>
      <c r="V57" s="692"/>
      <c r="W57" s="584"/>
      <c r="X57" s="13"/>
      <c r="Y57" s="13"/>
      <c r="Z57" s="15"/>
      <c r="AA57" s="20"/>
      <c r="AB57" s="589" t="str">
        <f t="shared" si="1"/>
        <v/>
      </c>
      <c r="AC57" s="354"/>
    </row>
    <row r="58" spans="1:29" ht="37.5" customHeight="1">
      <c r="A58" s="117"/>
      <c r="B58" s="341">
        <f t="shared" si="0"/>
        <v>5</v>
      </c>
      <c r="C58" s="697"/>
      <c r="D58" s="698"/>
      <c r="E58" s="698"/>
      <c r="F58" s="698"/>
      <c r="G58" s="698"/>
      <c r="H58" s="698"/>
      <c r="I58" s="698"/>
      <c r="J58" s="698"/>
      <c r="K58" s="698"/>
      <c r="L58" s="699"/>
      <c r="M58" s="690"/>
      <c r="N58" s="691"/>
      <c r="O58" s="691"/>
      <c r="P58" s="691"/>
      <c r="Q58" s="692"/>
      <c r="R58" s="690"/>
      <c r="S58" s="691"/>
      <c r="T58" s="691"/>
      <c r="U58" s="691"/>
      <c r="V58" s="692"/>
      <c r="W58" s="584"/>
      <c r="X58" s="13"/>
      <c r="Y58" s="13"/>
      <c r="Z58" s="15"/>
      <c r="AA58" s="20"/>
      <c r="AB58" s="589" t="str">
        <f t="shared" si="1"/>
        <v/>
      </c>
      <c r="AC58" s="354"/>
    </row>
    <row r="59" spans="1:29" ht="37.5" customHeight="1">
      <c r="A59" s="117"/>
      <c r="B59" s="341">
        <f t="shared" si="0"/>
        <v>6</v>
      </c>
      <c r="C59" s="697"/>
      <c r="D59" s="698"/>
      <c r="E59" s="698"/>
      <c r="F59" s="698"/>
      <c r="G59" s="698"/>
      <c r="H59" s="698"/>
      <c r="I59" s="698"/>
      <c r="J59" s="698"/>
      <c r="K59" s="698"/>
      <c r="L59" s="699"/>
      <c r="M59" s="690"/>
      <c r="N59" s="691"/>
      <c r="O59" s="691"/>
      <c r="P59" s="691"/>
      <c r="Q59" s="692"/>
      <c r="R59" s="690"/>
      <c r="S59" s="691"/>
      <c r="T59" s="691"/>
      <c r="U59" s="691"/>
      <c r="V59" s="692"/>
      <c r="W59" s="584"/>
      <c r="X59" s="13"/>
      <c r="Y59" s="13"/>
      <c r="Z59" s="15"/>
      <c r="AA59" s="20"/>
      <c r="AB59" s="589" t="str">
        <f t="shared" si="1"/>
        <v/>
      </c>
      <c r="AC59" s="354"/>
    </row>
    <row r="60" spans="1:29" ht="37.5" customHeight="1">
      <c r="A60" s="117"/>
      <c r="B60" s="341">
        <f t="shared" si="0"/>
        <v>7</v>
      </c>
      <c r="C60" s="697"/>
      <c r="D60" s="698"/>
      <c r="E60" s="698"/>
      <c r="F60" s="698"/>
      <c r="G60" s="698"/>
      <c r="H60" s="698"/>
      <c r="I60" s="698"/>
      <c r="J60" s="698"/>
      <c r="K60" s="698"/>
      <c r="L60" s="699"/>
      <c r="M60" s="690"/>
      <c r="N60" s="691"/>
      <c r="O60" s="691"/>
      <c r="P60" s="691"/>
      <c r="Q60" s="692"/>
      <c r="R60" s="690"/>
      <c r="S60" s="691"/>
      <c r="T60" s="691"/>
      <c r="U60" s="691"/>
      <c r="V60" s="692"/>
      <c r="W60" s="584"/>
      <c r="X60" s="13"/>
      <c r="Y60" s="13"/>
      <c r="Z60" s="15"/>
      <c r="AA60" s="20"/>
      <c r="AB60" s="589" t="str">
        <f t="shared" si="1"/>
        <v/>
      </c>
      <c r="AC60" s="354"/>
    </row>
    <row r="61" spans="1:29" ht="37.5" customHeight="1">
      <c r="A61" s="117"/>
      <c r="B61" s="341">
        <f t="shared" si="0"/>
        <v>8</v>
      </c>
      <c r="C61" s="677"/>
      <c r="D61" s="678"/>
      <c r="E61" s="678"/>
      <c r="F61" s="678"/>
      <c r="G61" s="678"/>
      <c r="H61" s="678"/>
      <c r="I61" s="678"/>
      <c r="J61" s="678"/>
      <c r="K61" s="678"/>
      <c r="L61" s="679"/>
      <c r="M61" s="683"/>
      <c r="N61" s="683"/>
      <c r="O61" s="683"/>
      <c r="P61" s="683"/>
      <c r="Q61" s="683"/>
      <c r="R61" s="690"/>
      <c r="S61" s="691"/>
      <c r="T61" s="691"/>
      <c r="U61" s="691"/>
      <c r="V61" s="692"/>
      <c r="W61" s="584"/>
      <c r="X61" s="13"/>
      <c r="Y61" s="13"/>
      <c r="Z61" s="15"/>
      <c r="AA61" s="20"/>
      <c r="AB61" s="589" t="str">
        <f t="shared" si="1"/>
        <v/>
      </c>
      <c r="AC61" s="355"/>
    </row>
    <row r="62" spans="1:29" ht="37.5" customHeight="1">
      <c r="A62" s="117"/>
      <c r="B62" s="341">
        <f t="shared" si="0"/>
        <v>9</v>
      </c>
      <c r="C62" s="677"/>
      <c r="D62" s="678"/>
      <c r="E62" s="678"/>
      <c r="F62" s="678"/>
      <c r="G62" s="678"/>
      <c r="H62" s="678"/>
      <c r="I62" s="678"/>
      <c r="J62" s="678"/>
      <c r="K62" s="678"/>
      <c r="L62" s="679"/>
      <c r="M62" s="683"/>
      <c r="N62" s="683"/>
      <c r="O62" s="683"/>
      <c r="P62" s="683"/>
      <c r="Q62" s="683"/>
      <c r="R62" s="690"/>
      <c r="S62" s="691"/>
      <c r="T62" s="691"/>
      <c r="U62" s="691"/>
      <c r="V62" s="692"/>
      <c r="W62" s="584"/>
      <c r="X62" s="13"/>
      <c r="Y62" s="13"/>
      <c r="Z62" s="15"/>
      <c r="AA62" s="20"/>
      <c r="AB62" s="589" t="str">
        <f t="shared" si="1"/>
        <v/>
      </c>
      <c r="AC62" s="355"/>
    </row>
    <row r="63" spans="1:29" ht="37.5" customHeight="1">
      <c r="A63" s="117"/>
      <c r="B63" s="341">
        <f t="shared" si="0"/>
        <v>10</v>
      </c>
      <c r="C63" s="677"/>
      <c r="D63" s="678"/>
      <c r="E63" s="678"/>
      <c r="F63" s="678"/>
      <c r="G63" s="678"/>
      <c r="H63" s="678"/>
      <c r="I63" s="678"/>
      <c r="J63" s="678"/>
      <c r="K63" s="678"/>
      <c r="L63" s="679"/>
      <c r="M63" s="683"/>
      <c r="N63" s="683"/>
      <c r="O63" s="683"/>
      <c r="P63" s="683"/>
      <c r="Q63" s="683"/>
      <c r="R63" s="690"/>
      <c r="S63" s="691"/>
      <c r="T63" s="691"/>
      <c r="U63" s="691"/>
      <c r="V63" s="692"/>
      <c r="W63" s="584"/>
      <c r="X63" s="13"/>
      <c r="Y63" s="13"/>
      <c r="Z63" s="15"/>
      <c r="AA63" s="20"/>
      <c r="AB63" s="589" t="str">
        <f t="shared" si="1"/>
        <v/>
      </c>
      <c r="AC63" s="355"/>
    </row>
    <row r="64" spans="1:29" ht="37.5" customHeight="1">
      <c r="A64" s="117"/>
      <c r="B64" s="341">
        <f t="shared" si="0"/>
        <v>11</v>
      </c>
      <c r="C64" s="677"/>
      <c r="D64" s="678"/>
      <c r="E64" s="678"/>
      <c r="F64" s="678"/>
      <c r="G64" s="678"/>
      <c r="H64" s="678"/>
      <c r="I64" s="678"/>
      <c r="J64" s="678"/>
      <c r="K64" s="678"/>
      <c r="L64" s="679"/>
      <c r="M64" s="683"/>
      <c r="N64" s="683"/>
      <c r="O64" s="683"/>
      <c r="P64" s="683"/>
      <c r="Q64" s="683"/>
      <c r="R64" s="690"/>
      <c r="S64" s="691"/>
      <c r="T64" s="691"/>
      <c r="U64" s="691"/>
      <c r="V64" s="692"/>
      <c r="W64" s="584"/>
      <c r="X64" s="13"/>
      <c r="Y64" s="13"/>
      <c r="Z64" s="15"/>
      <c r="AA64" s="20"/>
      <c r="AB64" s="589" t="str">
        <f t="shared" si="1"/>
        <v/>
      </c>
      <c r="AC64" s="355"/>
    </row>
    <row r="65" spans="1:29" ht="37.5" customHeight="1">
      <c r="A65" s="117"/>
      <c r="B65" s="341">
        <f t="shared" si="0"/>
        <v>12</v>
      </c>
      <c r="C65" s="677"/>
      <c r="D65" s="678"/>
      <c r="E65" s="678"/>
      <c r="F65" s="678"/>
      <c r="G65" s="678"/>
      <c r="H65" s="678"/>
      <c r="I65" s="678"/>
      <c r="J65" s="678"/>
      <c r="K65" s="678"/>
      <c r="L65" s="679"/>
      <c r="M65" s="683"/>
      <c r="N65" s="683"/>
      <c r="O65" s="683"/>
      <c r="P65" s="683"/>
      <c r="Q65" s="683"/>
      <c r="R65" s="690"/>
      <c r="S65" s="691"/>
      <c r="T65" s="691"/>
      <c r="U65" s="691"/>
      <c r="V65" s="692"/>
      <c r="W65" s="584"/>
      <c r="X65" s="13"/>
      <c r="Y65" s="13"/>
      <c r="Z65" s="15"/>
      <c r="AA65" s="20"/>
      <c r="AB65" s="589" t="str">
        <f t="shared" si="1"/>
        <v/>
      </c>
      <c r="AC65" s="355"/>
    </row>
    <row r="66" spans="1:29" ht="37.5" customHeight="1">
      <c r="A66" s="117"/>
      <c r="B66" s="341">
        <f t="shared" si="0"/>
        <v>13</v>
      </c>
      <c r="C66" s="677"/>
      <c r="D66" s="678"/>
      <c r="E66" s="678"/>
      <c r="F66" s="678"/>
      <c r="G66" s="678"/>
      <c r="H66" s="678"/>
      <c r="I66" s="678"/>
      <c r="J66" s="678"/>
      <c r="K66" s="678"/>
      <c r="L66" s="679"/>
      <c r="M66" s="683"/>
      <c r="N66" s="683"/>
      <c r="O66" s="683"/>
      <c r="P66" s="683"/>
      <c r="Q66" s="683"/>
      <c r="R66" s="690"/>
      <c r="S66" s="691"/>
      <c r="T66" s="691"/>
      <c r="U66" s="691"/>
      <c r="V66" s="692"/>
      <c r="W66" s="584"/>
      <c r="X66" s="13"/>
      <c r="Y66" s="13"/>
      <c r="Z66" s="15"/>
      <c r="AA66" s="20"/>
      <c r="AB66" s="589" t="str">
        <f t="shared" si="1"/>
        <v/>
      </c>
      <c r="AC66" s="355"/>
    </row>
    <row r="67" spans="1:29" ht="37.5" customHeight="1">
      <c r="A67" s="117"/>
      <c r="B67" s="341">
        <f t="shared" si="0"/>
        <v>14</v>
      </c>
      <c r="C67" s="677"/>
      <c r="D67" s="678"/>
      <c r="E67" s="678"/>
      <c r="F67" s="678"/>
      <c r="G67" s="678"/>
      <c r="H67" s="678"/>
      <c r="I67" s="678"/>
      <c r="J67" s="678"/>
      <c r="K67" s="678"/>
      <c r="L67" s="679"/>
      <c r="M67" s="683"/>
      <c r="N67" s="683"/>
      <c r="O67" s="683"/>
      <c r="P67" s="683"/>
      <c r="Q67" s="683"/>
      <c r="R67" s="690"/>
      <c r="S67" s="691"/>
      <c r="T67" s="691"/>
      <c r="U67" s="691"/>
      <c r="V67" s="692"/>
      <c r="W67" s="584"/>
      <c r="X67" s="13"/>
      <c r="Y67" s="13"/>
      <c r="Z67" s="15"/>
      <c r="AA67" s="20"/>
      <c r="AB67" s="589" t="str">
        <f t="shared" si="1"/>
        <v/>
      </c>
      <c r="AC67" s="355"/>
    </row>
    <row r="68" spans="1:29" ht="37.5" customHeight="1">
      <c r="A68" s="117"/>
      <c r="B68" s="341">
        <f t="shared" si="0"/>
        <v>15</v>
      </c>
      <c r="C68" s="677"/>
      <c r="D68" s="678"/>
      <c r="E68" s="678"/>
      <c r="F68" s="678"/>
      <c r="G68" s="678"/>
      <c r="H68" s="678"/>
      <c r="I68" s="678"/>
      <c r="J68" s="678"/>
      <c r="K68" s="678"/>
      <c r="L68" s="679"/>
      <c r="M68" s="683"/>
      <c r="N68" s="683"/>
      <c r="O68" s="683"/>
      <c r="P68" s="683"/>
      <c r="Q68" s="683"/>
      <c r="R68" s="690"/>
      <c r="S68" s="691"/>
      <c r="T68" s="691"/>
      <c r="U68" s="691"/>
      <c r="V68" s="692"/>
      <c r="W68" s="584"/>
      <c r="X68" s="13"/>
      <c r="Y68" s="13"/>
      <c r="Z68" s="15"/>
      <c r="AA68" s="20"/>
      <c r="AB68" s="589" t="str">
        <f t="shared" si="1"/>
        <v/>
      </c>
      <c r="AC68" s="355"/>
    </row>
    <row r="69" spans="1:29" ht="37.5" customHeight="1">
      <c r="A69" s="117"/>
      <c r="B69" s="341">
        <f t="shared" si="0"/>
        <v>16</v>
      </c>
      <c r="C69" s="697"/>
      <c r="D69" s="698"/>
      <c r="E69" s="698"/>
      <c r="F69" s="698"/>
      <c r="G69" s="698"/>
      <c r="H69" s="698"/>
      <c r="I69" s="698"/>
      <c r="J69" s="698"/>
      <c r="K69" s="698"/>
      <c r="L69" s="699"/>
      <c r="M69" s="683"/>
      <c r="N69" s="683"/>
      <c r="O69" s="683"/>
      <c r="P69" s="683"/>
      <c r="Q69" s="683"/>
      <c r="R69" s="690"/>
      <c r="S69" s="691"/>
      <c r="T69" s="691"/>
      <c r="U69" s="691"/>
      <c r="V69" s="692"/>
      <c r="W69" s="584"/>
      <c r="X69" s="13"/>
      <c r="Y69" s="13"/>
      <c r="Z69" s="15"/>
      <c r="AA69" s="20"/>
      <c r="AB69" s="589" t="str">
        <f t="shared" si="1"/>
        <v/>
      </c>
      <c r="AC69" s="355"/>
    </row>
    <row r="70" spans="1:29" ht="37.5" customHeight="1">
      <c r="A70" s="117"/>
      <c r="B70" s="341">
        <f t="shared" si="0"/>
        <v>17</v>
      </c>
      <c r="C70" s="697"/>
      <c r="D70" s="698"/>
      <c r="E70" s="698"/>
      <c r="F70" s="698"/>
      <c r="G70" s="698"/>
      <c r="H70" s="698"/>
      <c r="I70" s="698"/>
      <c r="J70" s="698"/>
      <c r="K70" s="698"/>
      <c r="L70" s="699"/>
      <c r="M70" s="683"/>
      <c r="N70" s="683"/>
      <c r="O70" s="683"/>
      <c r="P70" s="683"/>
      <c r="Q70" s="683"/>
      <c r="R70" s="690"/>
      <c r="S70" s="691"/>
      <c r="T70" s="691"/>
      <c r="U70" s="691"/>
      <c r="V70" s="692"/>
      <c r="W70" s="584"/>
      <c r="X70" s="13"/>
      <c r="Y70" s="13"/>
      <c r="Z70" s="15"/>
      <c r="AA70" s="20"/>
      <c r="AB70" s="589" t="str">
        <f t="shared" si="1"/>
        <v/>
      </c>
      <c r="AC70" s="355"/>
    </row>
    <row r="71" spans="1:29" ht="37.5" customHeight="1">
      <c r="A71" s="117"/>
      <c r="B71" s="341">
        <f t="shared" si="0"/>
        <v>18</v>
      </c>
      <c r="C71" s="677"/>
      <c r="D71" s="678"/>
      <c r="E71" s="678"/>
      <c r="F71" s="678"/>
      <c r="G71" s="678"/>
      <c r="H71" s="678"/>
      <c r="I71" s="678"/>
      <c r="J71" s="678"/>
      <c r="K71" s="678"/>
      <c r="L71" s="679"/>
      <c r="M71" s="683"/>
      <c r="N71" s="683"/>
      <c r="O71" s="683"/>
      <c r="P71" s="683"/>
      <c r="Q71" s="683"/>
      <c r="R71" s="690"/>
      <c r="S71" s="691"/>
      <c r="T71" s="691"/>
      <c r="U71" s="691"/>
      <c r="V71" s="692"/>
      <c r="W71" s="584"/>
      <c r="X71" s="13"/>
      <c r="Y71" s="13"/>
      <c r="Z71" s="15"/>
      <c r="AA71" s="20"/>
      <c r="AB71" s="589" t="str">
        <f t="shared" si="1"/>
        <v/>
      </c>
      <c r="AC71" s="355"/>
    </row>
    <row r="72" spans="1:29" ht="37.5" customHeight="1">
      <c r="A72" s="117"/>
      <c r="B72" s="341">
        <f t="shared" si="0"/>
        <v>19</v>
      </c>
      <c r="C72" s="677"/>
      <c r="D72" s="678"/>
      <c r="E72" s="678"/>
      <c r="F72" s="678"/>
      <c r="G72" s="678"/>
      <c r="H72" s="678"/>
      <c r="I72" s="678"/>
      <c r="J72" s="678"/>
      <c r="K72" s="678"/>
      <c r="L72" s="679"/>
      <c r="M72" s="683"/>
      <c r="N72" s="683"/>
      <c r="O72" s="683"/>
      <c r="P72" s="683"/>
      <c r="Q72" s="683"/>
      <c r="R72" s="690"/>
      <c r="S72" s="691"/>
      <c r="T72" s="691"/>
      <c r="U72" s="691"/>
      <c r="V72" s="692"/>
      <c r="W72" s="584"/>
      <c r="X72" s="13"/>
      <c r="Y72" s="13"/>
      <c r="Z72" s="15"/>
      <c r="AA72" s="20"/>
      <c r="AB72" s="589" t="str">
        <f t="shared" si="1"/>
        <v/>
      </c>
      <c r="AC72" s="355"/>
    </row>
    <row r="73" spans="1:29" ht="37.5" customHeight="1">
      <c r="A73" s="117"/>
      <c r="B73" s="341">
        <f t="shared" si="0"/>
        <v>20</v>
      </c>
      <c r="C73" s="677"/>
      <c r="D73" s="678"/>
      <c r="E73" s="678"/>
      <c r="F73" s="678"/>
      <c r="G73" s="678"/>
      <c r="H73" s="678"/>
      <c r="I73" s="678"/>
      <c r="J73" s="678"/>
      <c r="K73" s="678"/>
      <c r="L73" s="679"/>
      <c r="M73" s="683"/>
      <c r="N73" s="683"/>
      <c r="O73" s="683"/>
      <c r="P73" s="683"/>
      <c r="Q73" s="683"/>
      <c r="R73" s="690"/>
      <c r="S73" s="691"/>
      <c r="T73" s="691"/>
      <c r="U73" s="691"/>
      <c r="V73" s="692"/>
      <c r="W73" s="584"/>
      <c r="X73" s="13"/>
      <c r="Y73" s="13"/>
      <c r="Z73" s="15"/>
      <c r="AA73" s="20"/>
      <c r="AB73" s="589" t="str">
        <f t="shared" si="1"/>
        <v/>
      </c>
      <c r="AC73" s="355"/>
    </row>
    <row r="74" spans="1:29" ht="37.5" customHeight="1">
      <c r="A74" s="117"/>
      <c r="B74" s="341">
        <f t="shared" si="0"/>
        <v>21</v>
      </c>
      <c r="C74" s="677"/>
      <c r="D74" s="678"/>
      <c r="E74" s="678"/>
      <c r="F74" s="678"/>
      <c r="G74" s="678"/>
      <c r="H74" s="678"/>
      <c r="I74" s="678"/>
      <c r="J74" s="678"/>
      <c r="K74" s="678"/>
      <c r="L74" s="679"/>
      <c r="M74" s="683"/>
      <c r="N74" s="683"/>
      <c r="O74" s="683"/>
      <c r="P74" s="683"/>
      <c r="Q74" s="683"/>
      <c r="R74" s="690"/>
      <c r="S74" s="691"/>
      <c r="T74" s="691"/>
      <c r="U74" s="691"/>
      <c r="V74" s="692"/>
      <c r="W74" s="584"/>
      <c r="X74" s="13"/>
      <c r="Y74" s="13"/>
      <c r="Z74" s="15"/>
      <c r="AA74" s="20"/>
      <c r="AB74" s="589" t="str">
        <f t="shared" si="1"/>
        <v/>
      </c>
      <c r="AC74" s="355"/>
    </row>
    <row r="75" spans="1:29" ht="37.5" customHeight="1">
      <c r="A75" s="117"/>
      <c r="B75" s="341">
        <f t="shared" si="0"/>
        <v>22</v>
      </c>
      <c r="C75" s="677"/>
      <c r="D75" s="678"/>
      <c r="E75" s="678"/>
      <c r="F75" s="678"/>
      <c r="G75" s="678"/>
      <c r="H75" s="678"/>
      <c r="I75" s="678"/>
      <c r="J75" s="678"/>
      <c r="K75" s="678"/>
      <c r="L75" s="679"/>
      <c r="M75" s="683"/>
      <c r="N75" s="683"/>
      <c r="O75" s="683"/>
      <c r="P75" s="683"/>
      <c r="Q75" s="683"/>
      <c r="R75" s="690"/>
      <c r="S75" s="691"/>
      <c r="T75" s="691"/>
      <c r="U75" s="691"/>
      <c r="V75" s="692"/>
      <c r="W75" s="584"/>
      <c r="X75" s="13"/>
      <c r="Y75" s="13"/>
      <c r="Z75" s="15"/>
      <c r="AA75" s="20"/>
      <c r="AB75" s="589" t="str">
        <f t="shared" si="1"/>
        <v/>
      </c>
      <c r="AC75" s="355"/>
    </row>
    <row r="76" spans="1:29" ht="37.5" customHeight="1">
      <c r="A76" s="117"/>
      <c r="B76" s="341">
        <f t="shared" si="0"/>
        <v>23</v>
      </c>
      <c r="C76" s="677"/>
      <c r="D76" s="678"/>
      <c r="E76" s="678"/>
      <c r="F76" s="678"/>
      <c r="G76" s="678"/>
      <c r="H76" s="678"/>
      <c r="I76" s="678"/>
      <c r="J76" s="678"/>
      <c r="K76" s="678"/>
      <c r="L76" s="679"/>
      <c r="M76" s="683"/>
      <c r="N76" s="683"/>
      <c r="O76" s="683"/>
      <c r="P76" s="683"/>
      <c r="Q76" s="683"/>
      <c r="R76" s="690"/>
      <c r="S76" s="691"/>
      <c r="T76" s="691"/>
      <c r="U76" s="691"/>
      <c r="V76" s="692"/>
      <c r="W76" s="584"/>
      <c r="X76" s="13"/>
      <c r="Y76" s="13"/>
      <c r="Z76" s="15"/>
      <c r="AA76" s="20"/>
      <c r="AB76" s="589" t="str">
        <f t="shared" si="1"/>
        <v/>
      </c>
      <c r="AC76" s="355"/>
    </row>
    <row r="77" spans="1:29" ht="37.5" customHeight="1">
      <c r="A77" s="117"/>
      <c r="B77" s="341">
        <f t="shared" si="0"/>
        <v>24</v>
      </c>
      <c r="C77" s="677"/>
      <c r="D77" s="678"/>
      <c r="E77" s="678"/>
      <c r="F77" s="678"/>
      <c r="G77" s="678"/>
      <c r="H77" s="678"/>
      <c r="I77" s="678"/>
      <c r="J77" s="678"/>
      <c r="K77" s="678"/>
      <c r="L77" s="679"/>
      <c r="M77" s="683"/>
      <c r="N77" s="683"/>
      <c r="O77" s="683"/>
      <c r="P77" s="683"/>
      <c r="Q77" s="683"/>
      <c r="R77" s="690"/>
      <c r="S77" s="691"/>
      <c r="T77" s="691"/>
      <c r="U77" s="691"/>
      <c r="V77" s="692"/>
      <c r="W77" s="584"/>
      <c r="X77" s="13"/>
      <c r="Y77" s="13"/>
      <c r="Z77" s="15"/>
      <c r="AA77" s="20"/>
      <c r="AB77" s="589" t="str">
        <f t="shared" si="1"/>
        <v/>
      </c>
      <c r="AC77" s="355"/>
    </row>
    <row r="78" spans="1:29" ht="37.5" customHeight="1">
      <c r="A78" s="117"/>
      <c r="B78" s="341">
        <f t="shared" si="0"/>
        <v>25</v>
      </c>
      <c r="C78" s="677"/>
      <c r="D78" s="678"/>
      <c r="E78" s="678"/>
      <c r="F78" s="678"/>
      <c r="G78" s="678"/>
      <c r="H78" s="678"/>
      <c r="I78" s="678"/>
      <c r="J78" s="678"/>
      <c r="K78" s="678"/>
      <c r="L78" s="679"/>
      <c r="M78" s="683"/>
      <c r="N78" s="683"/>
      <c r="O78" s="683"/>
      <c r="P78" s="683"/>
      <c r="Q78" s="683"/>
      <c r="R78" s="690"/>
      <c r="S78" s="691"/>
      <c r="T78" s="691"/>
      <c r="U78" s="691"/>
      <c r="V78" s="692"/>
      <c r="W78" s="584"/>
      <c r="X78" s="13"/>
      <c r="Y78" s="13"/>
      <c r="Z78" s="15"/>
      <c r="AA78" s="20"/>
      <c r="AB78" s="589" t="str">
        <f t="shared" si="1"/>
        <v/>
      </c>
      <c r="AC78" s="355"/>
    </row>
    <row r="79" spans="1:29" ht="37.5" customHeight="1">
      <c r="A79" s="117"/>
      <c r="B79" s="341">
        <f t="shared" si="0"/>
        <v>26</v>
      </c>
      <c r="C79" s="677"/>
      <c r="D79" s="678"/>
      <c r="E79" s="678"/>
      <c r="F79" s="678"/>
      <c r="G79" s="678"/>
      <c r="H79" s="678"/>
      <c r="I79" s="678"/>
      <c r="J79" s="678"/>
      <c r="K79" s="678"/>
      <c r="L79" s="679"/>
      <c r="M79" s="683"/>
      <c r="N79" s="683"/>
      <c r="O79" s="683"/>
      <c r="P79" s="683"/>
      <c r="Q79" s="683"/>
      <c r="R79" s="690"/>
      <c r="S79" s="691"/>
      <c r="T79" s="691"/>
      <c r="U79" s="691"/>
      <c r="V79" s="692"/>
      <c r="W79" s="584"/>
      <c r="X79" s="13"/>
      <c r="Y79" s="13"/>
      <c r="Z79" s="15"/>
      <c r="AA79" s="20"/>
      <c r="AB79" s="589" t="str">
        <f t="shared" si="1"/>
        <v/>
      </c>
      <c r="AC79" s="355"/>
    </row>
    <row r="80" spans="1:29" ht="37.5" customHeight="1">
      <c r="A80" s="117"/>
      <c r="B80" s="341">
        <f t="shared" si="0"/>
        <v>27</v>
      </c>
      <c r="C80" s="677"/>
      <c r="D80" s="678"/>
      <c r="E80" s="678"/>
      <c r="F80" s="678"/>
      <c r="G80" s="678"/>
      <c r="H80" s="678"/>
      <c r="I80" s="678"/>
      <c r="J80" s="678"/>
      <c r="K80" s="678"/>
      <c r="L80" s="679"/>
      <c r="M80" s="683"/>
      <c r="N80" s="683"/>
      <c r="O80" s="683"/>
      <c r="P80" s="683"/>
      <c r="Q80" s="683"/>
      <c r="R80" s="690"/>
      <c r="S80" s="691"/>
      <c r="T80" s="691"/>
      <c r="U80" s="691"/>
      <c r="V80" s="692"/>
      <c r="W80" s="584"/>
      <c r="X80" s="13"/>
      <c r="Y80" s="13"/>
      <c r="Z80" s="15"/>
      <c r="AA80" s="20"/>
      <c r="AB80" s="589" t="str">
        <f t="shared" si="1"/>
        <v/>
      </c>
      <c r="AC80" s="355"/>
    </row>
    <row r="81" spans="1:29" ht="37.5" customHeight="1">
      <c r="A81" s="117"/>
      <c r="B81" s="341">
        <f t="shared" si="0"/>
        <v>28</v>
      </c>
      <c r="C81" s="677"/>
      <c r="D81" s="678"/>
      <c r="E81" s="678"/>
      <c r="F81" s="678"/>
      <c r="G81" s="678"/>
      <c r="H81" s="678"/>
      <c r="I81" s="678"/>
      <c r="J81" s="678"/>
      <c r="K81" s="678"/>
      <c r="L81" s="679"/>
      <c r="M81" s="683"/>
      <c r="N81" s="683"/>
      <c r="O81" s="683"/>
      <c r="P81" s="683"/>
      <c r="Q81" s="683"/>
      <c r="R81" s="690"/>
      <c r="S81" s="691"/>
      <c r="T81" s="691"/>
      <c r="U81" s="691"/>
      <c r="V81" s="692"/>
      <c r="W81" s="584"/>
      <c r="X81" s="13"/>
      <c r="Y81" s="13"/>
      <c r="Z81" s="15"/>
      <c r="AA81" s="20"/>
      <c r="AB81" s="589" t="str">
        <f t="shared" si="1"/>
        <v/>
      </c>
      <c r="AC81" s="355"/>
    </row>
    <row r="82" spans="1:29" ht="37.5" customHeight="1">
      <c r="A82" s="117"/>
      <c r="B82" s="341">
        <f t="shared" si="0"/>
        <v>29</v>
      </c>
      <c r="C82" s="677"/>
      <c r="D82" s="678"/>
      <c r="E82" s="678"/>
      <c r="F82" s="678"/>
      <c r="G82" s="678"/>
      <c r="H82" s="678"/>
      <c r="I82" s="678"/>
      <c r="J82" s="678"/>
      <c r="K82" s="678"/>
      <c r="L82" s="679"/>
      <c r="M82" s="683"/>
      <c r="N82" s="683"/>
      <c r="O82" s="683"/>
      <c r="P82" s="683"/>
      <c r="Q82" s="683"/>
      <c r="R82" s="690"/>
      <c r="S82" s="691"/>
      <c r="T82" s="691"/>
      <c r="U82" s="691"/>
      <c r="V82" s="692"/>
      <c r="W82" s="584"/>
      <c r="X82" s="13"/>
      <c r="Y82" s="13"/>
      <c r="Z82" s="15"/>
      <c r="AA82" s="20"/>
      <c r="AB82" s="589" t="str">
        <f t="shared" si="1"/>
        <v/>
      </c>
      <c r="AC82" s="355"/>
    </row>
    <row r="83" spans="1:29" ht="37.5" customHeight="1">
      <c r="A83" s="117"/>
      <c r="B83" s="341">
        <f t="shared" si="0"/>
        <v>30</v>
      </c>
      <c r="C83" s="677"/>
      <c r="D83" s="678"/>
      <c r="E83" s="678"/>
      <c r="F83" s="678"/>
      <c r="G83" s="678"/>
      <c r="H83" s="678"/>
      <c r="I83" s="678"/>
      <c r="J83" s="678"/>
      <c r="K83" s="678"/>
      <c r="L83" s="679"/>
      <c r="M83" s="683"/>
      <c r="N83" s="683"/>
      <c r="O83" s="683"/>
      <c r="P83" s="683"/>
      <c r="Q83" s="683"/>
      <c r="R83" s="690"/>
      <c r="S83" s="691"/>
      <c r="T83" s="691"/>
      <c r="U83" s="691"/>
      <c r="V83" s="692"/>
      <c r="W83" s="584"/>
      <c r="X83" s="13"/>
      <c r="Y83" s="13"/>
      <c r="Z83" s="15"/>
      <c r="AA83" s="20"/>
      <c r="AB83" s="589" t="str">
        <f t="shared" si="1"/>
        <v/>
      </c>
      <c r="AC83" s="355"/>
    </row>
    <row r="84" spans="1:29" ht="37.5" customHeight="1">
      <c r="A84" s="117"/>
      <c r="B84" s="341">
        <f t="shared" si="0"/>
        <v>31</v>
      </c>
      <c r="C84" s="677"/>
      <c r="D84" s="678"/>
      <c r="E84" s="678"/>
      <c r="F84" s="678"/>
      <c r="G84" s="678"/>
      <c r="H84" s="678"/>
      <c r="I84" s="678"/>
      <c r="J84" s="678"/>
      <c r="K84" s="678"/>
      <c r="L84" s="679"/>
      <c r="M84" s="683"/>
      <c r="N84" s="683"/>
      <c r="O84" s="683"/>
      <c r="P84" s="683"/>
      <c r="Q84" s="683"/>
      <c r="R84" s="690"/>
      <c r="S84" s="691"/>
      <c r="T84" s="691"/>
      <c r="U84" s="691"/>
      <c r="V84" s="692"/>
      <c r="W84" s="584"/>
      <c r="X84" s="13"/>
      <c r="Y84" s="13"/>
      <c r="Z84" s="15"/>
      <c r="AA84" s="20"/>
      <c r="AB84" s="589" t="str">
        <f t="shared" si="1"/>
        <v/>
      </c>
      <c r="AC84" s="355"/>
    </row>
    <row r="85" spans="1:29" ht="37.5" customHeight="1">
      <c r="A85" s="117"/>
      <c r="B85" s="341">
        <f t="shared" si="0"/>
        <v>32</v>
      </c>
      <c r="C85" s="677"/>
      <c r="D85" s="678"/>
      <c r="E85" s="678"/>
      <c r="F85" s="678"/>
      <c r="G85" s="678"/>
      <c r="H85" s="678"/>
      <c r="I85" s="678"/>
      <c r="J85" s="678"/>
      <c r="K85" s="678"/>
      <c r="L85" s="679"/>
      <c r="M85" s="683"/>
      <c r="N85" s="683"/>
      <c r="O85" s="683"/>
      <c r="P85" s="683"/>
      <c r="Q85" s="683"/>
      <c r="R85" s="690"/>
      <c r="S85" s="691"/>
      <c r="T85" s="691"/>
      <c r="U85" s="691"/>
      <c r="V85" s="692"/>
      <c r="W85" s="584"/>
      <c r="X85" s="13"/>
      <c r="Y85" s="13"/>
      <c r="Z85" s="15"/>
      <c r="AA85" s="20"/>
      <c r="AB85" s="589" t="str">
        <f t="shared" si="1"/>
        <v/>
      </c>
      <c r="AC85" s="355"/>
    </row>
    <row r="86" spans="1:29" ht="37.5" customHeight="1">
      <c r="A86" s="117"/>
      <c r="B86" s="341">
        <f t="shared" si="0"/>
        <v>33</v>
      </c>
      <c r="C86" s="677"/>
      <c r="D86" s="678"/>
      <c r="E86" s="678"/>
      <c r="F86" s="678"/>
      <c r="G86" s="678"/>
      <c r="H86" s="678"/>
      <c r="I86" s="678"/>
      <c r="J86" s="678"/>
      <c r="K86" s="678"/>
      <c r="L86" s="679"/>
      <c r="M86" s="683"/>
      <c r="N86" s="683"/>
      <c r="O86" s="683"/>
      <c r="P86" s="683"/>
      <c r="Q86" s="683"/>
      <c r="R86" s="690"/>
      <c r="S86" s="691"/>
      <c r="T86" s="691"/>
      <c r="U86" s="691"/>
      <c r="V86" s="692"/>
      <c r="W86" s="584"/>
      <c r="X86" s="13"/>
      <c r="Y86" s="13"/>
      <c r="Z86" s="15"/>
      <c r="AA86" s="20"/>
      <c r="AB86" s="589" t="str">
        <f t="shared" si="1"/>
        <v/>
      </c>
      <c r="AC86" s="355"/>
    </row>
    <row r="87" spans="1:29" ht="37.5" customHeight="1">
      <c r="A87" s="117"/>
      <c r="B87" s="341">
        <f t="shared" si="0"/>
        <v>34</v>
      </c>
      <c r="C87" s="677"/>
      <c r="D87" s="678"/>
      <c r="E87" s="678"/>
      <c r="F87" s="678"/>
      <c r="G87" s="678"/>
      <c r="H87" s="678"/>
      <c r="I87" s="678"/>
      <c r="J87" s="678"/>
      <c r="K87" s="678"/>
      <c r="L87" s="679"/>
      <c r="M87" s="683"/>
      <c r="N87" s="683"/>
      <c r="O87" s="683"/>
      <c r="P87" s="683"/>
      <c r="Q87" s="683"/>
      <c r="R87" s="690"/>
      <c r="S87" s="691"/>
      <c r="T87" s="691"/>
      <c r="U87" s="691"/>
      <c r="V87" s="692"/>
      <c r="W87" s="584"/>
      <c r="X87" s="13"/>
      <c r="Y87" s="13"/>
      <c r="Z87" s="15"/>
      <c r="AA87" s="20"/>
      <c r="AB87" s="589" t="str">
        <f t="shared" si="1"/>
        <v/>
      </c>
      <c r="AC87" s="355"/>
    </row>
    <row r="88" spans="1:29" ht="37.5" customHeight="1">
      <c r="A88" s="117"/>
      <c r="B88" s="341">
        <f t="shared" si="0"/>
        <v>35</v>
      </c>
      <c r="C88" s="677"/>
      <c r="D88" s="678"/>
      <c r="E88" s="678"/>
      <c r="F88" s="678"/>
      <c r="G88" s="678"/>
      <c r="H88" s="678"/>
      <c r="I88" s="678"/>
      <c r="J88" s="678"/>
      <c r="K88" s="678"/>
      <c r="L88" s="679"/>
      <c r="M88" s="683"/>
      <c r="N88" s="683"/>
      <c r="O88" s="683"/>
      <c r="P88" s="683"/>
      <c r="Q88" s="683"/>
      <c r="R88" s="690"/>
      <c r="S88" s="691"/>
      <c r="T88" s="691"/>
      <c r="U88" s="691"/>
      <c r="V88" s="692"/>
      <c r="W88" s="584"/>
      <c r="X88" s="13"/>
      <c r="Y88" s="13"/>
      <c r="Z88" s="15"/>
      <c r="AA88" s="20"/>
      <c r="AB88" s="589" t="str">
        <f t="shared" si="1"/>
        <v/>
      </c>
      <c r="AC88" s="355"/>
    </row>
    <row r="89" spans="1:29" ht="37.5" customHeight="1">
      <c r="A89" s="117"/>
      <c r="B89" s="341">
        <f t="shared" si="0"/>
        <v>36</v>
      </c>
      <c r="C89" s="677"/>
      <c r="D89" s="678"/>
      <c r="E89" s="678"/>
      <c r="F89" s="678"/>
      <c r="G89" s="678"/>
      <c r="H89" s="678"/>
      <c r="I89" s="678"/>
      <c r="J89" s="678"/>
      <c r="K89" s="678"/>
      <c r="L89" s="679"/>
      <c r="M89" s="683"/>
      <c r="N89" s="683"/>
      <c r="O89" s="683"/>
      <c r="P89" s="683"/>
      <c r="Q89" s="683"/>
      <c r="R89" s="690"/>
      <c r="S89" s="691"/>
      <c r="T89" s="691"/>
      <c r="U89" s="691"/>
      <c r="V89" s="692"/>
      <c r="W89" s="584"/>
      <c r="X89" s="13"/>
      <c r="Y89" s="13"/>
      <c r="Z89" s="15"/>
      <c r="AA89" s="20"/>
      <c r="AB89" s="589" t="str">
        <f t="shared" si="1"/>
        <v/>
      </c>
      <c r="AC89" s="355"/>
    </row>
    <row r="90" spans="1:29" ht="37.5" customHeight="1">
      <c r="A90" s="117"/>
      <c r="B90" s="341">
        <f t="shared" si="0"/>
        <v>37</v>
      </c>
      <c r="C90" s="677"/>
      <c r="D90" s="678"/>
      <c r="E90" s="678"/>
      <c r="F90" s="678"/>
      <c r="G90" s="678"/>
      <c r="H90" s="678"/>
      <c r="I90" s="678"/>
      <c r="J90" s="678"/>
      <c r="K90" s="678"/>
      <c r="L90" s="679"/>
      <c r="M90" s="683"/>
      <c r="N90" s="683"/>
      <c r="O90" s="683"/>
      <c r="P90" s="683"/>
      <c r="Q90" s="683"/>
      <c r="R90" s="690"/>
      <c r="S90" s="691"/>
      <c r="T90" s="691"/>
      <c r="U90" s="691"/>
      <c r="V90" s="692"/>
      <c r="W90" s="584"/>
      <c r="X90" s="13"/>
      <c r="Y90" s="13"/>
      <c r="Z90" s="15"/>
      <c r="AA90" s="20"/>
      <c r="AB90" s="589" t="str">
        <f t="shared" si="1"/>
        <v/>
      </c>
      <c r="AC90" s="355"/>
    </row>
    <row r="91" spans="1:29" ht="37.5" customHeight="1">
      <c r="A91" s="117"/>
      <c r="B91" s="341">
        <f t="shared" si="0"/>
        <v>38</v>
      </c>
      <c r="C91" s="677"/>
      <c r="D91" s="678"/>
      <c r="E91" s="678"/>
      <c r="F91" s="678"/>
      <c r="G91" s="678"/>
      <c r="H91" s="678"/>
      <c r="I91" s="678"/>
      <c r="J91" s="678"/>
      <c r="K91" s="678"/>
      <c r="L91" s="679"/>
      <c r="M91" s="683"/>
      <c r="N91" s="683"/>
      <c r="O91" s="683"/>
      <c r="P91" s="683"/>
      <c r="Q91" s="683"/>
      <c r="R91" s="690"/>
      <c r="S91" s="691"/>
      <c r="T91" s="691"/>
      <c r="U91" s="691"/>
      <c r="V91" s="692"/>
      <c r="W91" s="584"/>
      <c r="X91" s="13"/>
      <c r="Y91" s="13"/>
      <c r="Z91" s="15"/>
      <c r="AA91" s="20"/>
      <c r="AB91" s="589" t="str">
        <f t="shared" si="1"/>
        <v/>
      </c>
      <c r="AC91" s="355"/>
    </row>
    <row r="92" spans="1:29" ht="37.5" customHeight="1">
      <c r="A92" s="117"/>
      <c r="B92" s="341">
        <f t="shared" si="0"/>
        <v>39</v>
      </c>
      <c r="C92" s="677"/>
      <c r="D92" s="678"/>
      <c r="E92" s="678"/>
      <c r="F92" s="678"/>
      <c r="G92" s="678"/>
      <c r="H92" s="678"/>
      <c r="I92" s="678"/>
      <c r="J92" s="678"/>
      <c r="K92" s="678"/>
      <c r="L92" s="679"/>
      <c r="M92" s="683"/>
      <c r="N92" s="683"/>
      <c r="O92" s="683"/>
      <c r="P92" s="683"/>
      <c r="Q92" s="683"/>
      <c r="R92" s="690"/>
      <c r="S92" s="691"/>
      <c r="T92" s="691"/>
      <c r="U92" s="691"/>
      <c r="V92" s="692"/>
      <c r="W92" s="584"/>
      <c r="X92" s="13"/>
      <c r="Y92" s="13"/>
      <c r="Z92" s="15"/>
      <c r="AA92" s="20"/>
      <c r="AB92" s="589" t="str">
        <f t="shared" si="1"/>
        <v/>
      </c>
      <c r="AC92" s="355"/>
    </row>
    <row r="93" spans="1:29" ht="37.5" customHeight="1">
      <c r="A93" s="117"/>
      <c r="B93" s="341">
        <f t="shared" ref="B93:B119" si="2">B92+1</f>
        <v>40</v>
      </c>
      <c r="C93" s="677"/>
      <c r="D93" s="678"/>
      <c r="E93" s="678"/>
      <c r="F93" s="678"/>
      <c r="G93" s="678"/>
      <c r="H93" s="678"/>
      <c r="I93" s="678"/>
      <c r="J93" s="678"/>
      <c r="K93" s="678"/>
      <c r="L93" s="679"/>
      <c r="M93" s="683"/>
      <c r="N93" s="683"/>
      <c r="O93" s="683"/>
      <c r="P93" s="683"/>
      <c r="Q93" s="683"/>
      <c r="R93" s="690"/>
      <c r="S93" s="691"/>
      <c r="T93" s="691"/>
      <c r="U93" s="691"/>
      <c r="V93" s="692"/>
      <c r="W93" s="584"/>
      <c r="X93" s="13"/>
      <c r="Y93" s="13"/>
      <c r="Z93" s="15"/>
      <c r="AA93" s="20"/>
      <c r="AB93" s="589" t="str">
        <f t="shared" si="1"/>
        <v/>
      </c>
      <c r="AC93" s="355"/>
    </row>
    <row r="94" spans="1:29" ht="37.5" customHeight="1">
      <c r="A94" s="117"/>
      <c r="B94" s="341">
        <f t="shared" si="2"/>
        <v>41</v>
      </c>
      <c r="C94" s="677"/>
      <c r="D94" s="678"/>
      <c r="E94" s="678"/>
      <c r="F94" s="678"/>
      <c r="G94" s="678"/>
      <c r="H94" s="678"/>
      <c r="I94" s="678"/>
      <c r="J94" s="678"/>
      <c r="K94" s="678"/>
      <c r="L94" s="679"/>
      <c r="M94" s="683"/>
      <c r="N94" s="683"/>
      <c r="O94" s="683"/>
      <c r="P94" s="683"/>
      <c r="Q94" s="683"/>
      <c r="R94" s="690"/>
      <c r="S94" s="691"/>
      <c r="T94" s="691"/>
      <c r="U94" s="691"/>
      <c r="V94" s="692"/>
      <c r="W94" s="584"/>
      <c r="X94" s="13"/>
      <c r="Y94" s="13"/>
      <c r="Z94" s="15"/>
      <c r="AA94" s="20"/>
      <c r="AB94" s="589" t="str">
        <f t="shared" si="1"/>
        <v/>
      </c>
      <c r="AC94" s="355"/>
    </row>
    <row r="95" spans="1:29" ht="37.5" customHeight="1">
      <c r="A95" s="117"/>
      <c r="B95" s="341">
        <f t="shared" si="2"/>
        <v>42</v>
      </c>
      <c r="C95" s="677"/>
      <c r="D95" s="678"/>
      <c r="E95" s="678"/>
      <c r="F95" s="678"/>
      <c r="G95" s="678"/>
      <c r="H95" s="678"/>
      <c r="I95" s="678"/>
      <c r="J95" s="678"/>
      <c r="K95" s="678"/>
      <c r="L95" s="679"/>
      <c r="M95" s="683"/>
      <c r="N95" s="683"/>
      <c r="O95" s="683"/>
      <c r="P95" s="683"/>
      <c r="Q95" s="683"/>
      <c r="R95" s="690"/>
      <c r="S95" s="691"/>
      <c r="T95" s="691"/>
      <c r="U95" s="691"/>
      <c r="V95" s="692"/>
      <c r="W95" s="584"/>
      <c r="X95" s="13"/>
      <c r="Y95" s="13"/>
      <c r="Z95" s="15"/>
      <c r="AA95" s="20"/>
      <c r="AB95" s="589" t="str">
        <f t="shared" si="1"/>
        <v/>
      </c>
      <c r="AC95" s="355"/>
    </row>
    <row r="96" spans="1:29" ht="37.5" customHeight="1">
      <c r="A96" s="117"/>
      <c r="B96" s="341">
        <f t="shared" si="2"/>
        <v>43</v>
      </c>
      <c r="C96" s="677"/>
      <c r="D96" s="678"/>
      <c r="E96" s="678"/>
      <c r="F96" s="678"/>
      <c r="G96" s="678"/>
      <c r="H96" s="678"/>
      <c r="I96" s="678"/>
      <c r="J96" s="678"/>
      <c r="K96" s="678"/>
      <c r="L96" s="679"/>
      <c r="M96" s="683"/>
      <c r="N96" s="683"/>
      <c r="O96" s="683"/>
      <c r="P96" s="683"/>
      <c r="Q96" s="683"/>
      <c r="R96" s="690"/>
      <c r="S96" s="691"/>
      <c r="T96" s="691"/>
      <c r="U96" s="691"/>
      <c r="V96" s="692"/>
      <c r="W96" s="584"/>
      <c r="X96" s="13"/>
      <c r="Y96" s="13"/>
      <c r="Z96" s="15"/>
      <c r="AA96" s="20"/>
      <c r="AB96" s="589" t="str">
        <f t="shared" si="1"/>
        <v/>
      </c>
      <c r="AC96" s="355"/>
    </row>
    <row r="97" spans="1:29" ht="37.5" customHeight="1">
      <c r="A97" s="117"/>
      <c r="B97" s="341">
        <f t="shared" si="2"/>
        <v>44</v>
      </c>
      <c r="C97" s="677"/>
      <c r="D97" s="678"/>
      <c r="E97" s="678"/>
      <c r="F97" s="678"/>
      <c r="G97" s="678"/>
      <c r="H97" s="678"/>
      <c r="I97" s="678"/>
      <c r="J97" s="678"/>
      <c r="K97" s="678"/>
      <c r="L97" s="679"/>
      <c r="M97" s="683"/>
      <c r="N97" s="683"/>
      <c r="O97" s="683"/>
      <c r="P97" s="683"/>
      <c r="Q97" s="683"/>
      <c r="R97" s="690"/>
      <c r="S97" s="691"/>
      <c r="T97" s="691"/>
      <c r="U97" s="691"/>
      <c r="V97" s="692"/>
      <c r="W97" s="584"/>
      <c r="X97" s="13"/>
      <c r="Y97" s="13"/>
      <c r="Z97" s="15"/>
      <c r="AA97" s="20"/>
      <c r="AB97" s="589" t="str">
        <f t="shared" si="1"/>
        <v/>
      </c>
      <c r="AC97" s="355"/>
    </row>
    <row r="98" spans="1:29" ht="37.5" customHeight="1">
      <c r="A98" s="117"/>
      <c r="B98" s="341">
        <f t="shared" si="2"/>
        <v>45</v>
      </c>
      <c r="C98" s="677"/>
      <c r="D98" s="678"/>
      <c r="E98" s="678"/>
      <c r="F98" s="678"/>
      <c r="G98" s="678"/>
      <c r="H98" s="678"/>
      <c r="I98" s="678"/>
      <c r="J98" s="678"/>
      <c r="K98" s="678"/>
      <c r="L98" s="679"/>
      <c r="M98" s="683"/>
      <c r="N98" s="683"/>
      <c r="O98" s="683"/>
      <c r="P98" s="683"/>
      <c r="Q98" s="683"/>
      <c r="R98" s="690"/>
      <c r="S98" s="691"/>
      <c r="T98" s="691"/>
      <c r="U98" s="691"/>
      <c r="V98" s="692"/>
      <c r="W98" s="584"/>
      <c r="X98" s="13"/>
      <c r="Y98" s="13"/>
      <c r="Z98" s="15"/>
      <c r="AA98" s="20"/>
      <c r="AB98" s="589" t="str">
        <f t="shared" si="1"/>
        <v/>
      </c>
      <c r="AC98" s="355"/>
    </row>
    <row r="99" spans="1:29" ht="37.5" customHeight="1">
      <c r="A99" s="117"/>
      <c r="B99" s="341">
        <f t="shared" si="2"/>
        <v>46</v>
      </c>
      <c r="C99" s="677"/>
      <c r="D99" s="678"/>
      <c r="E99" s="678"/>
      <c r="F99" s="678"/>
      <c r="G99" s="678"/>
      <c r="H99" s="678"/>
      <c r="I99" s="678"/>
      <c r="J99" s="678"/>
      <c r="K99" s="678"/>
      <c r="L99" s="679"/>
      <c r="M99" s="683"/>
      <c r="N99" s="683"/>
      <c r="O99" s="683"/>
      <c r="P99" s="683"/>
      <c r="Q99" s="683"/>
      <c r="R99" s="690"/>
      <c r="S99" s="691"/>
      <c r="T99" s="691"/>
      <c r="U99" s="691"/>
      <c r="V99" s="692"/>
      <c r="W99" s="584"/>
      <c r="X99" s="13"/>
      <c r="Y99" s="13"/>
      <c r="Z99" s="15"/>
      <c r="AA99" s="20"/>
      <c r="AB99" s="589" t="str">
        <f t="shared" si="1"/>
        <v/>
      </c>
      <c r="AC99" s="355"/>
    </row>
    <row r="100" spans="1:29" ht="37.5" customHeight="1">
      <c r="A100" s="117"/>
      <c r="B100" s="341">
        <f t="shared" si="2"/>
        <v>47</v>
      </c>
      <c r="C100" s="677"/>
      <c r="D100" s="678"/>
      <c r="E100" s="678"/>
      <c r="F100" s="678"/>
      <c r="G100" s="678"/>
      <c r="H100" s="678"/>
      <c r="I100" s="678"/>
      <c r="J100" s="678"/>
      <c r="K100" s="678"/>
      <c r="L100" s="679"/>
      <c r="M100" s="683"/>
      <c r="N100" s="683"/>
      <c r="O100" s="683"/>
      <c r="P100" s="683"/>
      <c r="Q100" s="683"/>
      <c r="R100" s="690"/>
      <c r="S100" s="691"/>
      <c r="T100" s="691"/>
      <c r="U100" s="691"/>
      <c r="V100" s="692"/>
      <c r="W100" s="584"/>
      <c r="X100" s="13"/>
      <c r="Y100" s="13"/>
      <c r="Z100" s="15"/>
      <c r="AA100" s="20"/>
      <c r="AB100" s="589" t="str">
        <f t="shared" si="1"/>
        <v/>
      </c>
      <c r="AC100" s="355"/>
    </row>
    <row r="101" spans="1:29" ht="37.5" customHeight="1">
      <c r="A101" s="117"/>
      <c r="B101" s="341">
        <f t="shared" si="2"/>
        <v>48</v>
      </c>
      <c r="C101" s="677"/>
      <c r="D101" s="678"/>
      <c r="E101" s="678"/>
      <c r="F101" s="678"/>
      <c r="G101" s="678"/>
      <c r="H101" s="678"/>
      <c r="I101" s="678"/>
      <c r="J101" s="678"/>
      <c r="K101" s="678"/>
      <c r="L101" s="679"/>
      <c r="M101" s="683"/>
      <c r="N101" s="683"/>
      <c r="O101" s="683"/>
      <c r="P101" s="683"/>
      <c r="Q101" s="683"/>
      <c r="R101" s="690"/>
      <c r="S101" s="691"/>
      <c r="T101" s="691"/>
      <c r="U101" s="691"/>
      <c r="V101" s="692"/>
      <c r="W101" s="584"/>
      <c r="X101" s="13"/>
      <c r="Y101" s="13"/>
      <c r="Z101" s="15"/>
      <c r="AA101" s="20"/>
      <c r="AB101" s="589" t="str">
        <f t="shared" si="1"/>
        <v/>
      </c>
      <c r="AC101" s="355"/>
    </row>
    <row r="102" spans="1:29" ht="37.5" customHeight="1">
      <c r="A102" s="117"/>
      <c r="B102" s="341">
        <f t="shared" si="2"/>
        <v>49</v>
      </c>
      <c r="C102" s="677"/>
      <c r="D102" s="678"/>
      <c r="E102" s="678"/>
      <c r="F102" s="678"/>
      <c r="G102" s="678"/>
      <c r="H102" s="678"/>
      <c r="I102" s="678"/>
      <c r="J102" s="678"/>
      <c r="K102" s="678"/>
      <c r="L102" s="679"/>
      <c r="M102" s="683"/>
      <c r="N102" s="683"/>
      <c r="O102" s="683"/>
      <c r="P102" s="683"/>
      <c r="Q102" s="683"/>
      <c r="R102" s="690"/>
      <c r="S102" s="691"/>
      <c r="T102" s="691"/>
      <c r="U102" s="691"/>
      <c r="V102" s="692"/>
      <c r="W102" s="584"/>
      <c r="X102" s="13"/>
      <c r="Y102" s="13"/>
      <c r="Z102" s="15"/>
      <c r="AA102" s="20"/>
      <c r="AB102" s="589" t="str">
        <f t="shared" si="1"/>
        <v/>
      </c>
      <c r="AC102" s="355"/>
    </row>
    <row r="103" spans="1:29" ht="37.5" customHeight="1">
      <c r="A103" s="117"/>
      <c r="B103" s="341">
        <f t="shared" si="2"/>
        <v>50</v>
      </c>
      <c r="C103" s="677"/>
      <c r="D103" s="678"/>
      <c r="E103" s="678"/>
      <c r="F103" s="678"/>
      <c r="G103" s="678"/>
      <c r="H103" s="678"/>
      <c r="I103" s="678"/>
      <c r="J103" s="678"/>
      <c r="K103" s="678"/>
      <c r="L103" s="679"/>
      <c r="M103" s="683"/>
      <c r="N103" s="683"/>
      <c r="O103" s="683"/>
      <c r="P103" s="683"/>
      <c r="Q103" s="683"/>
      <c r="R103" s="690"/>
      <c r="S103" s="691"/>
      <c r="T103" s="691"/>
      <c r="U103" s="691"/>
      <c r="V103" s="692"/>
      <c r="W103" s="584"/>
      <c r="X103" s="13"/>
      <c r="Y103" s="13"/>
      <c r="Z103" s="15"/>
      <c r="AA103" s="20"/>
      <c r="AB103" s="589" t="str">
        <f t="shared" si="1"/>
        <v/>
      </c>
      <c r="AC103" s="355"/>
    </row>
    <row r="104" spans="1:29" ht="37.5" customHeight="1">
      <c r="A104" s="117"/>
      <c r="B104" s="341">
        <f t="shared" si="2"/>
        <v>51</v>
      </c>
      <c r="C104" s="677"/>
      <c r="D104" s="678"/>
      <c r="E104" s="678"/>
      <c r="F104" s="678"/>
      <c r="G104" s="678"/>
      <c r="H104" s="678"/>
      <c r="I104" s="678"/>
      <c r="J104" s="678"/>
      <c r="K104" s="678"/>
      <c r="L104" s="679"/>
      <c r="M104" s="683"/>
      <c r="N104" s="683"/>
      <c r="O104" s="683"/>
      <c r="P104" s="683"/>
      <c r="Q104" s="683"/>
      <c r="R104" s="690"/>
      <c r="S104" s="691"/>
      <c r="T104" s="691"/>
      <c r="U104" s="691"/>
      <c r="V104" s="692"/>
      <c r="W104" s="584"/>
      <c r="X104" s="13"/>
      <c r="Y104" s="13"/>
      <c r="Z104" s="15"/>
      <c r="AA104" s="20"/>
      <c r="AB104" s="589" t="str">
        <f t="shared" si="1"/>
        <v/>
      </c>
      <c r="AC104" s="355"/>
    </row>
    <row r="105" spans="1:29" ht="37.5" customHeight="1">
      <c r="A105" s="117"/>
      <c r="B105" s="341">
        <f t="shared" si="2"/>
        <v>52</v>
      </c>
      <c r="C105" s="677"/>
      <c r="D105" s="678"/>
      <c r="E105" s="678"/>
      <c r="F105" s="678"/>
      <c r="G105" s="678"/>
      <c r="H105" s="678"/>
      <c r="I105" s="678"/>
      <c r="J105" s="678"/>
      <c r="K105" s="678"/>
      <c r="L105" s="679"/>
      <c r="M105" s="683"/>
      <c r="N105" s="683"/>
      <c r="O105" s="683"/>
      <c r="P105" s="683"/>
      <c r="Q105" s="683"/>
      <c r="R105" s="690"/>
      <c r="S105" s="691"/>
      <c r="T105" s="691"/>
      <c r="U105" s="691"/>
      <c r="V105" s="692"/>
      <c r="W105" s="584"/>
      <c r="X105" s="13"/>
      <c r="Y105" s="13"/>
      <c r="Z105" s="15"/>
      <c r="AA105" s="20"/>
      <c r="AB105" s="589" t="str">
        <f t="shared" si="1"/>
        <v/>
      </c>
      <c r="AC105" s="355"/>
    </row>
    <row r="106" spans="1:29" ht="37.5" customHeight="1">
      <c r="A106" s="117"/>
      <c r="B106" s="341">
        <f t="shared" si="2"/>
        <v>53</v>
      </c>
      <c r="C106" s="677"/>
      <c r="D106" s="678"/>
      <c r="E106" s="678"/>
      <c r="F106" s="678"/>
      <c r="G106" s="678"/>
      <c r="H106" s="678"/>
      <c r="I106" s="678"/>
      <c r="J106" s="678"/>
      <c r="K106" s="678"/>
      <c r="L106" s="679"/>
      <c r="M106" s="683"/>
      <c r="N106" s="683"/>
      <c r="O106" s="683"/>
      <c r="P106" s="683"/>
      <c r="Q106" s="683"/>
      <c r="R106" s="690"/>
      <c r="S106" s="691"/>
      <c r="T106" s="691"/>
      <c r="U106" s="691"/>
      <c r="V106" s="692"/>
      <c r="W106" s="584"/>
      <c r="X106" s="13"/>
      <c r="Y106" s="13"/>
      <c r="Z106" s="15"/>
      <c r="AA106" s="20"/>
      <c r="AB106" s="589" t="str">
        <f t="shared" si="1"/>
        <v/>
      </c>
      <c r="AC106" s="355"/>
    </row>
    <row r="107" spans="1:29" ht="37.5" customHeight="1">
      <c r="A107" s="117"/>
      <c r="B107" s="341">
        <f t="shared" si="2"/>
        <v>54</v>
      </c>
      <c r="C107" s="677"/>
      <c r="D107" s="678"/>
      <c r="E107" s="678"/>
      <c r="F107" s="678"/>
      <c r="G107" s="678"/>
      <c r="H107" s="678"/>
      <c r="I107" s="678"/>
      <c r="J107" s="678"/>
      <c r="K107" s="678"/>
      <c r="L107" s="679"/>
      <c r="M107" s="683"/>
      <c r="N107" s="683"/>
      <c r="O107" s="683"/>
      <c r="P107" s="683"/>
      <c r="Q107" s="683"/>
      <c r="R107" s="690"/>
      <c r="S107" s="691"/>
      <c r="T107" s="691"/>
      <c r="U107" s="691"/>
      <c r="V107" s="692"/>
      <c r="W107" s="584"/>
      <c r="X107" s="13"/>
      <c r="Y107" s="13"/>
      <c r="Z107" s="15"/>
      <c r="AA107" s="20"/>
      <c r="AB107" s="589" t="str">
        <f t="shared" si="1"/>
        <v/>
      </c>
      <c r="AC107" s="355"/>
    </row>
    <row r="108" spans="1:29" ht="37.5" customHeight="1">
      <c r="A108" s="117"/>
      <c r="B108" s="341">
        <f t="shared" si="2"/>
        <v>55</v>
      </c>
      <c r="C108" s="677"/>
      <c r="D108" s="678"/>
      <c r="E108" s="678"/>
      <c r="F108" s="678"/>
      <c r="G108" s="678"/>
      <c r="H108" s="678"/>
      <c r="I108" s="678"/>
      <c r="J108" s="678"/>
      <c r="K108" s="678"/>
      <c r="L108" s="679"/>
      <c r="M108" s="683"/>
      <c r="N108" s="683"/>
      <c r="O108" s="683"/>
      <c r="P108" s="683"/>
      <c r="Q108" s="683"/>
      <c r="R108" s="690"/>
      <c r="S108" s="691"/>
      <c r="T108" s="691"/>
      <c r="U108" s="691"/>
      <c r="V108" s="692"/>
      <c r="W108" s="584"/>
      <c r="X108" s="13"/>
      <c r="Y108" s="13"/>
      <c r="Z108" s="15"/>
      <c r="AA108" s="20"/>
      <c r="AB108" s="589" t="str">
        <f t="shared" si="1"/>
        <v/>
      </c>
      <c r="AC108" s="355"/>
    </row>
    <row r="109" spans="1:29" ht="37.5" customHeight="1">
      <c r="A109" s="117"/>
      <c r="B109" s="341">
        <f t="shared" si="2"/>
        <v>56</v>
      </c>
      <c r="C109" s="677"/>
      <c r="D109" s="678"/>
      <c r="E109" s="678"/>
      <c r="F109" s="678"/>
      <c r="G109" s="678"/>
      <c r="H109" s="678"/>
      <c r="I109" s="678"/>
      <c r="J109" s="678"/>
      <c r="K109" s="678"/>
      <c r="L109" s="679"/>
      <c r="M109" s="683"/>
      <c r="N109" s="683"/>
      <c r="O109" s="683"/>
      <c r="P109" s="683"/>
      <c r="Q109" s="683"/>
      <c r="R109" s="690"/>
      <c r="S109" s="691"/>
      <c r="T109" s="691"/>
      <c r="U109" s="691"/>
      <c r="V109" s="692"/>
      <c r="W109" s="584"/>
      <c r="X109" s="13"/>
      <c r="Y109" s="13"/>
      <c r="Z109" s="15"/>
      <c r="AA109" s="20"/>
      <c r="AB109" s="589" t="str">
        <f t="shared" si="1"/>
        <v/>
      </c>
      <c r="AC109" s="355"/>
    </row>
    <row r="110" spans="1:29" ht="37.5" customHeight="1">
      <c r="A110" s="117"/>
      <c r="B110" s="341">
        <f t="shared" si="2"/>
        <v>57</v>
      </c>
      <c r="C110" s="677"/>
      <c r="D110" s="678"/>
      <c r="E110" s="678"/>
      <c r="F110" s="678"/>
      <c r="G110" s="678"/>
      <c r="H110" s="678"/>
      <c r="I110" s="678"/>
      <c r="J110" s="678"/>
      <c r="K110" s="678"/>
      <c r="L110" s="679"/>
      <c r="M110" s="683"/>
      <c r="N110" s="683"/>
      <c r="O110" s="683"/>
      <c r="P110" s="683"/>
      <c r="Q110" s="683"/>
      <c r="R110" s="690"/>
      <c r="S110" s="691"/>
      <c r="T110" s="691"/>
      <c r="U110" s="691"/>
      <c r="V110" s="692"/>
      <c r="W110" s="584"/>
      <c r="X110" s="13"/>
      <c r="Y110" s="13"/>
      <c r="Z110" s="15"/>
      <c r="AA110" s="20"/>
      <c r="AB110" s="589" t="str">
        <f t="shared" si="1"/>
        <v/>
      </c>
      <c r="AC110" s="355"/>
    </row>
    <row r="111" spans="1:29" ht="37.5" customHeight="1">
      <c r="A111" s="117"/>
      <c r="B111" s="341">
        <f t="shared" si="2"/>
        <v>58</v>
      </c>
      <c r="C111" s="677"/>
      <c r="D111" s="678"/>
      <c r="E111" s="678"/>
      <c r="F111" s="678"/>
      <c r="G111" s="678"/>
      <c r="H111" s="678"/>
      <c r="I111" s="678"/>
      <c r="J111" s="678"/>
      <c r="K111" s="678"/>
      <c r="L111" s="679"/>
      <c r="M111" s="683"/>
      <c r="N111" s="683"/>
      <c r="O111" s="683"/>
      <c r="P111" s="683"/>
      <c r="Q111" s="683"/>
      <c r="R111" s="690"/>
      <c r="S111" s="691"/>
      <c r="T111" s="691"/>
      <c r="U111" s="691"/>
      <c r="V111" s="692"/>
      <c r="W111" s="584"/>
      <c r="X111" s="13"/>
      <c r="Y111" s="13"/>
      <c r="Z111" s="15"/>
      <c r="AA111" s="20"/>
      <c r="AB111" s="589" t="str">
        <f t="shared" si="1"/>
        <v/>
      </c>
      <c r="AC111" s="355"/>
    </row>
    <row r="112" spans="1:29" ht="37.5" customHeight="1">
      <c r="A112" s="117"/>
      <c r="B112" s="341">
        <f t="shared" si="2"/>
        <v>59</v>
      </c>
      <c r="C112" s="677"/>
      <c r="D112" s="678"/>
      <c r="E112" s="678"/>
      <c r="F112" s="678"/>
      <c r="G112" s="678"/>
      <c r="H112" s="678"/>
      <c r="I112" s="678"/>
      <c r="J112" s="678"/>
      <c r="K112" s="678"/>
      <c r="L112" s="679"/>
      <c r="M112" s="683"/>
      <c r="N112" s="683"/>
      <c r="O112" s="683"/>
      <c r="P112" s="683"/>
      <c r="Q112" s="683"/>
      <c r="R112" s="690"/>
      <c r="S112" s="691"/>
      <c r="T112" s="691"/>
      <c r="U112" s="691"/>
      <c r="V112" s="692"/>
      <c r="W112" s="584"/>
      <c r="X112" s="13"/>
      <c r="Y112" s="13"/>
      <c r="Z112" s="15"/>
      <c r="AA112" s="20"/>
      <c r="AB112" s="589" t="str">
        <f t="shared" si="1"/>
        <v/>
      </c>
      <c r="AC112" s="355"/>
    </row>
    <row r="113" spans="1:29" ht="37.5" customHeight="1">
      <c r="A113" s="117"/>
      <c r="B113" s="341">
        <f t="shared" si="2"/>
        <v>60</v>
      </c>
      <c r="C113" s="677"/>
      <c r="D113" s="678"/>
      <c r="E113" s="678"/>
      <c r="F113" s="678"/>
      <c r="G113" s="678"/>
      <c r="H113" s="678"/>
      <c r="I113" s="678"/>
      <c r="J113" s="678"/>
      <c r="K113" s="678"/>
      <c r="L113" s="679"/>
      <c r="M113" s="683"/>
      <c r="N113" s="683"/>
      <c r="O113" s="683"/>
      <c r="P113" s="683"/>
      <c r="Q113" s="683"/>
      <c r="R113" s="690"/>
      <c r="S113" s="691"/>
      <c r="T113" s="691"/>
      <c r="U113" s="691"/>
      <c r="V113" s="692"/>
      <c r="W113" s="584"/>
      <c r="X113" s="13"/>
      <c r="Y113" s="13"/>
      <c r="Z113" s="15"/>
      <c r="AA113" s="20"/>
      <c r="AB113" s="589" t="str">
        <f t="shared" si="1"/>
        <v/>
      </c>
      <c r="AC113" s="355"/>
    </row>
    <row r="114" spans="1:29" ht="37.5" customHeight="1">
      <c r="A114" s="117"/>
      <c r="B114" s="341">
        <f t="shared" si="2"/>
        <v>61</v>
      </c>
      <c r="C114" s="677"/>
      <c r="D114" s="678"/>
      <c r="E114" s="678"/>
      <c r="F114" s="678"/>
      <c r="G114" s="678"/>
      <c r="H114" s="678"/>
      <c r="I114" s="678"/>
      <c r="J114" s="678"/>
      <c r="K114" s="678"/>
      <c r="L114" s="679"/>
      <c r="M114" s="683"/>
      <c r="N114" s="683"/>
      <c r="O114" s="683"/>
      <c r="P114" s="683"/>
      <c r="Q114" s="683"/>
      <c r="R114" s="690"/>
      <c r="S114" s="691"/>
      <c r="T114" s="691"/>
      <c r="U114" s="691"/>
      <c r="V114" s="692"/>
      <c r="W114" s="584"/>
      <c r="X114" s="13"/>
      <c r="Y114" s="13"/>
      <c r="Z114" s="15"/>
      <c r="AA114" s="20"/>
      <c r="AB114" s="589" t="str">
        <f t="shared" si="1"/>
        <v/>
      </c>
      <c r="AC114" s="355"/>
    </row>
    <row r="115" spans="1:29" ht="37.5" customHeight="1">
      <c r="A115" s="117"/>
      <c r="B115" s="341">
        <f t="shared" si="2"/>
        <v>62</v>
      </c>
      <c r="C115" s="677"/>
      <c r="D115" s="678"/>
      <c r="E115" s="678"/>
      <c r="F115" s="678"/>
      <c r="G115" s="678"/>
      <c r="H115" s="678"/>
      <c r="I115" s="678"/>
      <c r="J115" s="678"/>
      <c r="K115" s="678"/>
      <c r="L115" s="679"/>
      <c r="M115" s="683"/>
      <c r="N115" s="683"/>
      <c r="O115" s="683"/>
      <c r="P115" s="683"/>
      <c r="Q115" s="683"/>
      <c r="R115" s="690"/>
      <c r="S115" s="691"/>
      <c r="T115" s="691"/>
      <c r="U115" s="691"/>
      <c r="V115" s="692"/>
      <c r="W115" s="584"/>
      <c r="X115" s="13"/>
      <c r="Y115" s="13"/>
      <c r="Z115" s="15"/>
      <c r="AA115" s="20"/>
      <c r="AB115" s="589" t="str">
        <f t="shared" si="1"/>
        <v/>
      </c>
      <c r="AC115" s="355"/>
    </row>
    <row r="116" spans="1:29" ht="37.5" customHeight="1">
      <c r="A116" s="117"/>
      <c r="B116" s="341">
        <f t="shared" si="2"/>
        <v>63</v>
      </c>
      <c r="C116" s="677"/>
      <c r="D116" s="678"/>
      <c r="E116" s="678"/>
      <c r="F116" s="678"/>
      <c r="G116" s="678"/>
      <c r="H116" s="678"/>
      <c r="I116" s="678"/>
      <c r="J116" s="678"/>
      <c r="K116" s="678"/>
      <c r="L116" s="679"/>
      <c r="M116" s="683"/>
      <c r="N116" s="683"/>
      <c r="O116" s="683"/>
      <c r="P116" s="683"/>
      <c r="Q116" s="683"/>
      <c r="R116" s="690"/>
      <c r="S116" s="691"/>
      <c r="T116" s="691"/>
      <c r="U116" s="691"/>
      <c r="V116" s="692"/>
      <c r="W116" s="584"/>
      <c r="X116" s="13"/>
      <c r="Y116" s="13"/>
      <c r="Z116" s="15"/>
      <c r="AA116" s="20"/>
      <c r="AB116" s="589" t="str">
        <f t="shared" si="1"/>
        <v/>
      </c>
      <c r="AC116" s="355"/>
    </row>
    <row r="117" spans="1:29" ht="37.5" customHeight="1">
      <c r="A117" s="117"/>
      <c r="B117" s="341">
        <f t="shared" si="2"/>
        <v>64</v>
      </c>
      <c r="C117" s="677"/>
      <c r="D117" s="678"/>
      <c r="E117" s="678"/>
      <c r="F117" s="678"/>
      <c r="G117" s="678"/>
      <c r="H117" s="678"/>
      <c r="I117" s="678"/>
      <c r="J117" s="678"/>
      <c r="K117" s="678"/>
      <c r="L117" s="679"/>
      <c r="M117" s="683"/>
      <c r="N117" s="683"/>
      <c r="O117" s="683"/>
      <c r="P117" s="683"/>
      <c r="Q117" s="683"/>
      <c r="R117" s="690"/>
      <c r="S117" s="691"/>
      <c r="T117" s="691"/>
      <c r="U117" s="691"/>
      <c r="V117" s="692"/>
      <c r="W117" s="584"/>
      <c r="X117" s="13"/>
      <c r="Y117" s="13"/>
      <c r="Z117" s="15"/>
      <c r="AA117" s="20"/>
      <c r="AB117" s="589" t="str">
        <f t="shared" si="1"/>
        <v/>
      </c>
      <c r="AC117" s="355"/>
    </row>
    <row r="118" spans="1:29" ht="37.5" customHeight="1">
      <c r="A118" s="117"/>
      <c r="B118" s="341">
        <f t="shared" si="2"/>
        <v>65</v>
      </c>
      <c r="C118" s="677"/>
      <c r="D118" s="678"/>
      <c r="E118" s="678"/>
      <c r="F118" s="678"/>
      <c r="G118" s="678"/>
      <c r="H118" s="678"/>
      <c r="I118" s="678"/>
      <c r="J118" s="678"/>
      <c r="K118" s="678"/>
      <c r="L118" s="679"/>
      <c r="M118" s="683"/>
      <c r="N118" s="683"/>
      <c r="O118" s="683"/>
      <c r="P118" s="683"/>
      <c r="Q118" s="683"/>
      <c r="R118" s="690"/>
      <c r="S118" s="691"/>
      <c r="T118" s="691"/>
      <c r="U118" s="691"/>
      <c r="V118" s="692"/>
      <c r="W118" s="584"/>
      <c r="X118" s="13"/>
      <c r="Y118" s="13"/>
      <c r="Z118" s="15"/>
      <c r="AA118" s="20"/>
      <c r="AB118" s="589" t="str">
        <f t="shared" si="1"/>
        <v/>
      </c>
      <c r="AC118" s="355"/>
    </row>
    <row r="119" spans="1:29" ht="37.5" customHeight="1">
      <c r="A119" s="117"/>
      <c r="B119" s="341">
        <f t="shared" si="2"/>
        <v>66</v>
      </c>
      <c r="C119" s="677"/>
      <c r="D119" s="678"/>
      <c r="E119" s="678"/>
      <c r="F119" s="678"/>
      <c r="G119" s="678"/>
      <c r="H119" s="678"/>
      <c r="I119" s="678"/>
      <c r="J119" s="678"/>
      <c r="K119" s="678"/>
      <c r="L119" s="679"/>
      <c r="M119" s="683"/>
      <c r="N119" s="683"/>
      <c r="O119" s="683"/>
      <c r="P119" s="683"/>
      <c r="Q119" s="683"/>
      <c r="R119" s="690"/>
      <c r="S119" s="691"/>
      <c r="T119" s="691"/>
      <c r="U119" s="691"/>
      <c r="V119" s="692"/>
      <c r="W119" s="584"/>
      <c r="X119" s="13"/>
      <c r="Y119" s="13"/>
      <c r="Z119" s="15"/>
      <c r="AA119" s="20"/>
      <c r="AB119" s="589" t="str">
        <f t="shared" si="1"/>
        <v/>
      </c>
      <c r="AC119" s="355"/>
    </row>
    <row r="120" spans="1:29" ht="37.5" customHeight="1">
      <c r="A120" s="117"/>
      <c r="B120" s="341">
        <f t="shared" ref="B120:B145" si="3">B119+1</f>
        <v>67</v>
      </c>
      <c r="C120" s="677"/>
      <c r="D120" s="678"/>
      <c r="E120" s="678"/>
      <c r="F120" s="678"/>
      <c r="G120" s="678"/>
      <c r="H120" s="678"/>
      <c r="I120" s="678"/>
      <c r="J120" s="678"/>
      <c r="K120" s="678"/>
      <c r="L120" s="679"/>
      <c r="M120" s="683"/>
      <c r="N120" s="683"/>
      <c r="O120" s="683"/>
      <c r="P120" s="683"/>
      <c r="Q120" s="683"/>
      <c r="R120" s="690"/>
      <c r="S120" s="691"/>
      <c r="T120" s="691"/>
      <c r="U120" s="691"/>
      <c r="V120" s="692"/>
      <c r="W120" s="584"/>
      <c r="X120" s="13"/>
      <c r="Y120" s="13"/>
      <c r="Z120" s="15"/>
      <c r="AA120" s="20"/>
      <c r="AB120" s="589" t="str">
        <f t="shared" ref="AB120:AB153" si="4">IF(Z120-AA120=0,"",Z120-AA120)</f>
        <v/>
      </c>
      <c r="AC120" s="355"/>
    </row>
    <row r="121" spans="1:29" ht="37.5" customHeight="1">
      <c r="A121" s="117"/>
      <c r="B121" s="341">
        <f t="shared" si="3"/>
        <v>68</v>
      </c>
      <c r="C121" s="677"/>
      <c r="D121" s="678"/>
      <c r="E121" s="678"/>
      <c r="F121" s="678"/>
      <c r="G121" s="678"/>
      <c r="H121" s="678"/>
      <c r="I121" s="678"/>
      <c r="J121" s="678"/>
      <c r="K121" s="678"/>
      <c r="L121" s="679"/>
      <c r="M121" s="683"/>
      <c r="N121" s="683"/>
      <c r="O121" s="683"/>
      <c r="P121" s="683"/>
      <c r="Q121" s="683"/>
      <c r="R121" s="690"/>
      <c r="S121" s="691"/>
      <c r="T121" s="691"/>
      <c r="U121" s="691"/>
      <c r="V121" s="692"/>
      <c r="W121" s="584"/>
      <c r="X121" s="13"/>
      <c r="Y121" s="13"/>
      <c r="Z121" s="15"/>
      <c r="AA121" s="20"/>
      <c r="AB121" s="589" t="str">
        <f t="shared" si="4"/>
        <v/>
      </c>
      <c r="AC121" s="355"/>
    </row>
    <row r="122" spans="1:29" ht="37.5" customHeight="1">
      <c r="A122" s="117"/>
      <c r="B122" s="341">
        <f t="shared" si="3"/>
        <v>69</v>
      </c>
      <c r="C122" s="677"/>
      <c r="D122" s="678"/>
      <c r="E122" s="678"/>
      <c r="F122" s="678"/>
      <c r="G122" s="678"/>
      <c r="H122" s="678"/>
      <c r="I122" s="678"/>
      <c r="J122" s="678"/>
      <c r="K122" s="678"/>
      <c r="L122" s="679"/>
      <c r="M122" s="683"/>
      <c r="N122" s="683"/>
      <c r="O122" s="683"/>
      <c r="P122" s="683"/>
      <c r="Q122" s="683"/>
      <c r="R122" s="690"/>
      <c r="S122" s="691"/>
      <c r="T122" s="691"/>
      <c r="U122" s="691"/>
      <c r="V122" s="692"/>
      <c r="W122" s="584"/>
      <c r="X122" s="13"/>
      <c r="Y122" s="13"/>
      <c r="Z122" s="15"/>
      <c r="AA122" s="20"/>
      <c r="AB122" s="589" t="str">
        <f t="shared" si="4"/>
        <v/>
      </c>
      <c r="AC122" s="355"/>
    </row>
    <row r="123" spans="1:29" ht="37.5" customHeight="1">
      <c r="A123" s="117"/>
      <c r="B123" s="341">
        <f t="shared" si="3"/>
        <v>70</v>
      </c>
      <c r="C123" s="677"/>
      <c r="D123" s="678"/>
      <c r="E123" s="678"/>
      <c r="F123" s="678"/>
      <c r="G123" s="678"/>
      <c r="H123" s="678"/>
      <c r="I123" s="678"/>
      <c r="J123" s="678"/>
      <c r="K123" s="678"/>
      <c r="L123" s="679"/>
      <c r="M123" s="683"/>
      <c r="N123" s="683"/>
      <c r="O123" s="683"/>
      <c r="P123" s="683"/>
      <c r="Q123" s="683"/>
      <c r="R123" s="690"/>
      <c r="S123" s="691"/>
      <c r="T123" s="691"/>
      <c r="U123" s="691"/>
      <c r="V123" s="692"/>
      <c r="W123" s="584"/>
      <c r="X123" s="13"/>
      <c r="Y123" s="13"/>
      <c r="Z123" s="15"/>
      <c r="AA123" s="20"/>
      <c r="AB123" s="589" t="str">
        <f t="shared" si="4"/>
        <v/>
      </c>
      <c r="AC123" s="355"/>
    </row>
    <row r="124" spans="1:29" ht="37.5" customHeight="1">
      <c r="A124" s="117"/>
      <c r="B124" s="341">
        <f t="shared" si="3"/>
        <v>71</v>
      </c>
      <c r="C124" s="677"/>
      <c r="D124" s="678"/>
      <c r="E124" s="678"/>
      <c r="F124" s="678"/>
      <c r="G124" s="678"/>
      <c r="H124" s="678"/>
      <c r="I124" s="678"/>
      <c r="J124" s="678"/>
      <c r="K124" s="678"/>
      <c r="L124" s="679"/>
      <c r="M124" s="683"/>
      <c r="N124" s="683"/>
      <c r="O124" s="683"/>
      <c r="P124" s="683"/>
      <c r="Q124" s="683"/>
      <c r="R124" s="690"/>
      <c r="S124" s="691"/>
      <c r="T124" s="691"/>
      <c r="U124" s="691"/>
      <c r="V124" s="692"/>
      <c r="W124" s="584"/>
      <c r="X124" s="13"/>
      <c r="Y124" s="13"/>
      <c r="Z124" s="15"/>
      <c r="AA124" s="20"/>
      <c r="AB124" s="589" t="str">
        <f t="shared" si="4"/>
        <v/>
      </c>
      <c r="AC124" s="355"/>
    </row>
    <row r="125" spans="1:29" ht="37.5" customHeight="1">
      <c r="A125" s="117"/>
      <c r="B125" s="341">
        <f t="shared" si="3"/>
        <v>72</v>
      </c>
      <c r="C125" s="677"/>
      <c r="D125" s="678"/>
      <c r="E125" s="678"/>
      <c r="F125" s="678"/>
      <c r="G125" s="678"/>
      <c r="H125" s="678"/>
      <c r="I125" s="678"/>
      <c r="J125" s="678"/>
      <c r="K125" s="678"/>
      <c r="L125" s="679"/>
      <c r="M125" s="683"/>
      <c r="N125" s="683"/>
      <c r="O125" s="683"/>
      <c r="P125" s="683"/>
      <c r="Q125" s="683"/>
      <c r="R125" s="690"/>
      <c r="S125" s="691"/>
      <c r="T125" s="691"/>
      <c r="U125" s="691"/>
      <c r="V125" s="692"/>
      <c r="W125" s="584"/>
      <c r="X125" s="13"/>
      <c r="Y125" s="13"/>
      <c r="Z125" s="15"/>
      <c r="AA125" s="20"/>
      <c r="AB125" s="589" t="str">
        <f t="shared" si="4"/>
        <v/>
      </c>
      <c r="AC125" s="355"/>
    </row>
    <row r="126" spans="1:29" ht="37.5" customHeight="1">
      <c r="A126" s="117"/>
      <c r="B126" s="341">
        <f t="shared" si="3"/>
        <v>73</v>
      </c>
      <c r="C126" s="677"/>
      <c r="D126" s="678"/>
      <c r="E126" s="678"/>
      <c r="F126" s="678"/>
      <c r="G126" s="678"/>
      <c r="H126" s="678"/>
      <c r="I126" s="678"/>
      <c r="J126" s="678"/>
      <c r="K126" s="678"/>
      <c r="L126" s="679"/>
      <c r="M126" s="683"/>
      <c r="N126" s="683"/>
      <c r="O126" s="683"/>
      <c r="P126" s="683"/>
      <c r="Q126" s="683"/>
      <c r="R126" s="690"/>
      <c r="S126" s="691"/>
      <c r="T126" s="691"/>
      <c r="U126" s="691"/>
      <c r="V126" s="692"/>
      <c r="W126" s="584"/>
      <c r="X126" s="13"/>
      <c r="Y126" s="13"/>
      <c r="Z126" s="15"/>
      <c r="AA126" s="20"/>
      <c r="AB126" s="589" t="str">
        <f t="shared" si="4"/>
        <v/>
      </c>
      <c r="AC126" s="355"/>
    </row>
    <row r="127" spans="1:29" ht="37.5" customHeight="1">
      <c r="A127" s="117"/>
      <c r="B127" s="341">
        <f t="shared" si="3"/>
        <v>74</v>
      </c>
      <c r="C127" s="677"/>
      <c r="D127" s="678"/>
      <c r="E127" s="678"/>
      <c r="F127" s="678"/>
      <c r="G127" s="678"/>
      <c r="H127" s="678"/>
      <c r="I127" s="678"/>
      <c r="J127" s="678"/>
      <c r="K127" s="678"/>
      <c r="L127" s="679"/>
      <c r="M127" s="683"/>
      <c r="N127" s="683"/>
      <c r="O127" s="683"/>
      <c r="P127" s="683"/>
      <c r="Q127" s="683"/>
      <c r="R127" s="690"/>
      <c r="S127" s="691"/>
      <c r="T127" s="691"/>
      <c r="U127" s="691"/>
      <c r="V127" s="692"/>
      <c r="W127" s="584"/>
      <c r="X127" s="13"/>
      <c r="Y127" s="13"/>
      <c r="Z127" s="15"/>
      <c r="AA127" s="20"/>
      <c r="AB127" s="589" t="str">
        <f t="shared" si="4"/>
        <v/>
      </c>
      <c r="AC127" s="355"/>
    </row>
    <row r="128" spans="1:29" ht="37.5" customHeight="1">
      <c r="A128" s="117"/>
      <c r="B128" s="341">
        <f t="shared" si="3"/>
        <v>75</v>
      </c>
      <c r="C128" s="677"/>
      <c r="D128" s="678"/>
      <c r="E128" s="678"/>
      <c r="F128" s="678"/>
      <c r="G128" s="678"/>
      <c r="H128" s="678"/>
      <c r="I128" s="678"/>
      <c r="J128" s="678"/>
      <c r="K128" s="678"/>
      <c r="L128" s="679"/>
      <c r="M128" s="683"/>
      <c r="N128" s="683"/>
      <c r="O128" s="683"/>
      <c r="P128" s="683"/>
      <c r="Q128" s="683"/>
      <c r="R128" s="690"/>
      <c r="S128" s="691"/>
      <c r="T128" s="691"/>
      <c r="U128" s="691"/>
      <c r="V128" s="692"/>
      <c r="W128" s="584"/>
      <c r="X128" s="13"/>
      <c r="Y128" s="13"/>
      <c r="Z128" s="15"/>
      <c r="AA128" s="20"/>
      <c r="AB128" s="589" t="str">
        <f t="shared" si="4"/>
        <v/>
      </c>
      <c r="AC128" s="355"/>
    </row>
    <row r="129" spans="1:29" ht="37.5" customHeight="1">
      <c r="A129" s="117"/>
      <c r="B129" s="341">
        <f t="shared" si="3"/>
        <v>76</v>
      </c>
      <c r="C129" s="677"/>
      <c r="D129" s="678"/>
      <c r="E129" s="678"/>
      <c r="F129" s="678"/>
      <c r="G129" s="678"/>
      <c r="H129" s="678"/>
      <c r="I129" s="678"/>
      <c r="J129" s="678"/>
      <c r="K129" s="678"/>
      <c r="L129" s="679"/>
      <c r="M129" s="683"/>
      <c r="N129" s="683"/>
      <c r="O129" s="683"/>
      <c r="P129" s="683"/>
      <c r="Q129" s="683"/>
      <c r="R129" s="690"/>
      <c r="S129" s="691"/>
      <c r="T129" s="691"/>
      <c r="U129" s="691"/>
      <c r="V129" s="692"/>
      <c r="W129" s="584"/>
      <c r="X129" s="13"/>
      <c r="Y129" s="13"/>
      <c r="Z129" s="15"/>
      <c r="AA129" s="20"/>
      <c r="AB129" s="589" t="str">
        <f t="shared" si="4"/>
        <v/>
      </c>
      <c r="AC129" s="355"/>
    </row>
    <row r="130" spans="1:29" ht="37.5" customHeight="1">
      <c r="A130" s="117"/>
      <c r="B130" s="341">
        <f t="shared" si="3"/>
        <v>77</v>
      </c>
      <c r="C130" s="677"/>
      <c r="D130" s="678"/>
      <c r="E130" s="678"/>
      <c r="F130" s="678"/>
      <c r="G130" s="678"/>
      <c r="H130" s="678"/>
      <c r="I130" s="678"/>
      <c r="J130" s="678"/>
      <c r="K130" s="678"/>
      <c r="L130" s="679"/>
      <c r="M130" s="683"/>
      <c r="N130" s="683"/>
      <c r="O130" s="683"/>
      <c r="P130" s="683"/>
      <c r="Q130" s="683"/>
      <c r="R130" s="690"/>
      <c r="S130" s="691"/>
      <c r="T130" s="691"/>
      <c r="U130" s="691"/>
      <c r="V130" s="692"/>
      <c r="W130" s="584"/>
      <c r="X130" s="13"/>
      <c r="Y130" s="13"/>
      <c r="Z130" s="15"/>
      <c r="AA130" s="20"/>
      <c r="AB130" s="589" t="str">
        <f t="shared" si="4"/>
        <v/>
      </c>
      <c r="AC130" s="355"/>
    </row>
    <row r="131" spans="1:29" ht="37.5" customHeight="1">
      <c r="A131" s="117"/>
      <c r="B131" s="341">
        <f t="shared" si="3"/>
        <v>78</v>
      </c>
      <c r="C131" s="677"/>
      <c r="D131" s="678"/>
      <c r="E131" s="678"/>
      <c r="F131" s="678"/>
      <c r="G131" s="678"/>
      <c r="H131" s="678"/>
      <c r="I131" s="678"/>
      <c r="J131" s="678"/>
      <c r="K131" s="678"/>
      <c r="L131" s="679"/>
      <c r="M131" s="683"/>
      <c r="N131" s="683"/>
      <c r="O131" s="683"/>
      <c r="P131" s="683"/>
      <c r="Q131" s="683"/>
      <c r="R131" s="690"/>
      <c r="S131" s="691"/>
      <c r="T131" s="691"/>
      <c r="U131" s="691"/>
      <c r="V131" s="692"/>
      <c r="W131" s="584"/>
      <c r="X131" s="13"/>
      <c r="Y131" s="13"/>
      <c r="Z131" s="15"/>
      <c r="AA131" s="20"/>
      <c r="AB131" s="589" t="str">
        <f t="shared" si="4"/>
        <v/>
      </c>
      <c r="AC131" s="355"/>
    </row>
    <row r="132" spans="1:29" ht="37.5" customHeight="1">
      <c r="A132" s="117"/>
      <c r="B132" s="341">
        <f t="shared" si="3"/>
        <v>79</v>
      </c>
      <c r="C132" s="677"/>
      <c r="D132" s="678"/>
      <c r="E132" s="678"/>
      <c r="F132" s="678"/>
      <c r="G132" s="678"/>
      <c r="H132" s="678"/>
      <c r="I132" s="678"/>
      <c r="J132" s="678"/>
      <c r="K132" s="678"/>
      <c r="L132" s="679"/>
      <c r="M132" s="683"/>
      <c r="N132" s="683"/>
      <c r="O132" s="683"/>
      <c r="P132" s="683"/>
      <c r="Q132" s="683"/>
      <c r="R132" s="690"/>
      <c r="S132" s="691"/>
      <c r="T132" s="691"/>
      <c r="U132" s="691"/>
      <c r="V132" s="692"/>
      <c r="W132" s="584"/>
      <c r="X132" s="13"/>
      <c r="Y132" s="13"/>
      <c r="Z132" s="15"/>
      <c r="AA132" s="20"/>
      <c r="AB132" s="589" t="str">
        <f t="shared" si="4"/>
        <v/>
      </c>
      <c r="AC132" s="355"/>
    </row>
    <row r="133" spans="1:29" ht="37.5" customHeight="1">
      <c r="A133" s="117"/>
      <c r="B133" s="341">
        <f t="shared" si="3"/>
        <v>80</v>
      </c>
      <c r="C133" s="677"/>
      <c r="D133" s="678"/>
      <c r="E133" s="678"/>
      <c r="F133" s="678"/>
      <c r="G133" s="678"/>
      <c r="H133" s="678"/>
      <c r="I133" s="678"/>
      <c r="J133" s="678"/>
      <c r="K133" s="678"/>
      <c r="L133" s="679"/>
      <c r="M133" s="683"/>
      <c r="N133" s="683"/>
      <c r="O133" s="683"/>
      <c r="P133" s="683"/>
      <c r="Q133" s="683"/>
      <c r="R133" s="690"/>
      <c r="S133" s="691"/>
      <c r="T133" s="691"/>
      <c r="U133" s="691"/>
      <c r="V133" s="692"/>
      <c r="W133" s="584"/>
      <c r="X133" s="13"/>
      <c r="Y133" s="13"/>
      <c r="Z133" s="15"/>
      <c r="AA133" s="20"/>
      <c r="AB133" s="589" t="str">
        <f t="shared" si="4"/>
        <v/>
      </c>
      <c r="AC133" s="355"/>
    </row>
    <row r="134" spans="1:29" ht="37.5" customHeight="1">
      <c r="A134" s="117"/>
      <c r="B134" s="341">
        <f t="shared" si="3"/>
        <v>81</v>
      </c>
      <c r="C134" s="677"/>
      <c r="D134" s="678"/>
      <c r="E134" s="678"/>
      <c r="F134" s="678"/>
      <c r="G134" s="678"/>
      <c r="H134" s="678"/>
      <c r="I134" s="678"/>
      <c r="J134" s="678"/>
      <c r="K134" s="678"/>
      <c r="L134" s="679"/>
      <c r="M134" s="683"/>
      <c r="N134" s="683"/>
      <c r="O134" s="683"/>
      <c r="P134" s="683"/>
      <c r="Q134" s="683"/>
      <c r="R134" s="690"/>
      <c r="S134" s="691"/>
      <c r="T134" s="691"/>
      <c r="U134" s="691"/>
      <c r="V134" s="692"/>
      <c r="W134" s="584"/>
      <c r="X134" s="13"/>
      <c r="Y134" s="13"/>
      <c r="Z134" s="15"/>
      <c r="AA134" s="20"/>
      <c r="AB134" s="589" t="str">
        <f t="shared" si="4"/>
        <v/>
      </c>
      <c r="AC134" s="355"/>
    </row>
    <row r="135" spans="1:29" ht="37.5" customHeight="1">
      <c r="A135" s="117"/>
      <c r="B135" s="341">
        <f t="shared" si="3"/>
        <v>82</v>
      </c>
      <c r="C135" s="677"/>
      <c r="D135" s="678"/>
      <c r="E135" s="678"/>
      <c r="F135" s="678"/>
      <c r="G135" s="678"/>
      <c r="H135" s="678"/>
      <c r="I135" s="678"/>
      <c r="J135" s="678"/>
      <c r="K135" s="678"/>
      <c r="L135" s="679"/>
      <c r="M135" s="683"/>
      <c r="N135" s="683"/>
      <c r="O135" s="683"/>
      <c r="P135" s="683"/>
      <c r="Q135" s="683"/>
      <c r="R135" s="690"/>
      <c r="S135" s="691"/>
      <c r="T135" s="691"/>
      <c r="U135" s="691"/>
      <c r="V135" s="692"/>
      <c r="W135" s="584"/>
      <c r="X135" s="13"/>
      <c r="Y135" s="13"/>
      <c r="Z135" s="15"/>
      <c r="AA135" s="20"/>
      <c r="AB135" s="589" t="str">
        <f t="shared" si="4"/>
        <v/>
      </c>
      <c r="AC135" s="355"/>
    </row>
    <row r="136" spans="1:29" ht="37.5" customHeight="1">
      <c r="A136" s="117"/>
      <c r="B136" s="341">
        <f t="shared" si="3"/>
        <v>83</v>
      </c>
      <c r="C136" s="677"/>
      <c r="D136" s="678"/>
      <c r="E136" s="678"/>
      <c r="F136" s="678"/>
      <c r="G136" s="678"/>
      <c r="H136" s="678"/>
      <c r="I136" s="678"/>
      <c r="J136" s="678"/>
      <c r="K136" s="678"/>
      <c r="L136" s="679"/>
      <c r="M136" s="683"/>
      <c r="N136" s="683"/>
      <c r="O136" s="683"/>
      <c r="P136" s="683"/>
      <c r="Q136" s="683"/>
      <c r="R136" s="690"/>
      <c r="S136" s="691"/>
      <c r="T136" s="691"/>
      <c r="U136" s="691"/>
      <c r="V136" s="692"/>
      <c r="W136" s="584"/>
      <c r="X136" s="13"/>
      <c r="Y136" s="13"/>
      <c r="Z136" s="15"/>
      <c r="AA136" s="20"/>
      <c r="AB136" s="589" t="str">
        <f t="shared" si="4"/>
        <v/>
      </c>
      <c r="AC136" s="355"/>
    </row>
    <row r="137" spans="1:29" ht="37.5" customHeight="1">
      <c r="A137" s="117"/>
      <c r="B137" s="341">
        <f t="shared" si="3"/>
        <v>84</v>
      </c>
      <c r="C137" s="677"/>
      <c r="D137" s="678"/>
      <c r="E137" s="678"/>
      <c r="F137" s="678"/>
      <c r="G137" s="678"/>
      <c r="H137" s="678"/>
      <c r="I137" s="678"/>
      <c r="J137" s="678"/>
      <c r="K137" s="678"/>
      <c r="L137" s="679"/>
      <c r="M137" s="683"/>
      <c r="N137" s="683"/>
      <c r="O137" s="683"/>
      <c r="P137" s="683"/>
      <c r="Q137" s="683"/>
      <c r="R137" s="690"/>
      <c r="S137" s="691"/>
      <c r="T137" s="691"/>
      <c r="U137" s="691"/>
      <c r="V137" s="692"/>
      <c r="W137" s="584"/>
      <c r="X137" s="13"/>
      <c r="Y137" s="13"/>
      <c r="Z137" s="15"/>
      <c r="AA137" s="20"/>
      <c r="AB137" s="589" t="str">
        <f t="shared" si="4"/>
        <v/>
      </c>
      <c r="AC137" s="355"/>
    </row>
    <row r="138" spans="1:29" ht="37.5" customHeight="1">
      <c r="A138" s="117"/>
      <c r="B138" s="341">
        <f t="shared" si="3"/>
        <v>85</v>
      </c>
      <c r="C138" s="677"/>
      <c r="D138" s="678"/>
      <c r="E138" s="678"/>
      <c r="F138" s="678"/>
      <c r="G138" s="678"/>
      <c r="H138" s="678"/>
      <c r="I138" s="678"/>
      <c r="J138" s="678"/>
      <c r="K138" s="678"/>
      <c r="L138" s="679"/>
      <c r="M138" s="683"/>
      <c r="N138" s="683"/>
      <c r="O138" s="683"/>
      <c r="P138" s="683"/>
      <c r="Q138" s="683"/>
      <c r="R138" s="690"/>
      <c r="S138" s="691"/>
      <c r="T138" s="691"/>
      <c r="U138" s="691"/>
      <c r="V138" s="692"/>
      <c r="W138" s="584"/>
      <c r="X138" s="13"/>
      <c r="Y138" s="13"/>
      <c r="Z138" s="15"/>
      <c r="AA138" s="20"/>
      <c r="AB138" s="589" t="str">
        <f t="shared" si="4"/>
        <v/>
      </c>
      <c r="AC138" s="355"/>
    </row>
    <row r="139" spans="1:29" ht="37.5" customHeight="1">
      <c r="A139" s="117"/>
      <c r="B139" s="341">
        <f t="shared" si="3"/>
        <v>86</v>
      </c>
      <c r="C139" s="677"/>
      <c r="D139" s="678"/>
      <c r="E139" s="678"/>
      <c r="F139" s="678"/>
      <c r="G139" s="678"/>
      <c r="H139" s="678"/>
      <c r="I139" s="678"/>
      <c r="J139" s="678"/>
      <c r="K139" s="678"/>
      <c r="L139" s="679"/>
      <c r="M139" s="683"/>
      <c r="N139" s="683"/>
      <c r="O139" s="683"/>
      <c r="P139" s="683"/>
      <c r="Q139" s="683"/>
      <c r="R139" s="690"/>
      <c r="S139" s="691"/>
      <c r="T139" s="691"/>
      <c r="U139" s="691"/>
      <c r="V139" s="692"/>
      <c r="W139" s="584"/>
      <c r="X139" s="13"/>
      <c r="Y139" s="13"/>
      <c r="Z139" s="15"/>
      <c r="AA139" s="20"/>
      <c r="AB139" s="589" t="str">
        <f t="shared" si="4"/>
        <v/>
      </c>
      <c r="AC139" s="355"/>
    </row>
    <row r="140" spans="1:29" ht="37.5" customHeight="1">
      <c r="A140" s="117"/>
      <c r="B140" s="341">
        <f t="shared" si="3"/>
        <v>87</v>
      </c>
      <c r="C140" s="677"/>
      <c r="D140" s="678"/>
      <c r="E140" s="678"/>
      <c r="F140" s="678"/>
      <c r="G140" s="678"/>
      <c r="H140" s="678"/>
      <c r="I140" s="678"/>
      <c r="J140" s="678"/>
      <c r="K140" s="678"/>
      <c r="L140" s="679"/>
      <c r="M140" s="683"/>
      <c r="N140" s="683"/>
      <c r="O140" s="683"/>
      <c r="P140" s="683"/>
      <c r="Q140" s="683"/>
      <c r="R140" s="690"/>
      <c r="S140" s="691"/>
      <c r="T140" s="691"/>
      <c r="U140" s="691"/>
      <c r="V140" s="692"/>
      <c r="W140" s="584"/>
      <c r="X140" s="13"/>
      <c r="Y140" s="13"/>
      <c r="Z140" s="15"/>
      <c r="AA140" s="20"/>
      <c r="AB140" s="589" t="str">
        <f t="shared" si="4"/>
        <v/>
      </c>
      <c r="AC140" s="355"/>
    </row>
    <row r="141" spans="1:29" ht="37.5" customHeight="1">
      <c r="A141" s="117"/>
      <c r="B141" s="341">
        <f t="shared" si="3"/>
        <v>88</v>
      </c>
      <c r="C141" s="677"/>
      <c r="D141" s="678"/>
      <c r="E141" s="678"/>
      <c r="F141" s="678"/>
      <c r="G141" s="678"/>
      <c r="H141" s="678"/>
      <c r="I141" s="678"/>
      <c r="J141" s="678"/>
      <c r="K141" s="678"/>
      <c r="L141" s="679"/>
      <c r="M141" s="683"/>
      <c r="N141" s="683"/>
      <c r="O141" s="683"/>
      <c r="P141" s="683"/>
      <c r="Q141" s="683"/>
      <c r="R141" s="690"/>
      <c r="S141" s="691"/>
      <c r="T141" s="691"/>
      <c r="U141" s="691"/>
      <c r="V141" s="692"/>
      <c r="W141" s="584"/>
      <c r="X141" s="13"/>
      <c r="Y141" s="13"/>
      <c r="Z141" s="15"/>
      <c r="AA141" s="20"/>
      <c r="AB141" s="589" t="str">
        <f t="shared" si="4"/>
        <v/>
      </c>
      <c r="AC141" s="355"/>
    </row>
    <row r="142" spans="1:29" ht="37.5" customHeight="1">
      <c r="A142" s="117"/>
      <c r="B142" s="341">
        <f t="shared" si="3"/>
        <v>89</v>
      </c>
      <c r="C142" s="677"/>
      <c r="D142" s="678"/>
      <c r="E142" s="678"/>
      <c r="F142" s="678"/>
      <c r="G142" s="678"/>
      <c r="H142" s="678"/>
      <c r="I142" s="678"/>
      <c r="J142" s="678"/>
      <c r="K142" s="678"/>
      <c r="L142" s="679"/>
      <c r="M142" s="683"/>
      <c r="N142" s="683"/>
      <c r="O142" s="683"/>
      <c r="P142" s="683"/>
      <c r="Q142" s="683"/>
      <c r="R142" s="690"/>
      <c r="S142" s="691"/>
      <c r="T142" s="691"/>
      <c r="U142" s="691"/>
      <c r="V142" s="692"/>
      <c r="W142" s="584"/>
      <c r="X142" s="13"/>
      <c r="Y142" s="13"/>
      <c r="Z142" s="15"/>
      <c r="AA142" s="20"/>
      <c r="AB142" s="589" t="str">
        <f t="shared" si="4"/>
        <v/>
      </c>
      <c r="AC142" s="355"/>
    </row>
    <row r="143" spans="1:29" ht="37.5" customHeight="1">
      <c r="A143" s="117"/>
      <c r="B143" s="341">
        <f t="shared" si="3"/>
        <v>90</v>
      </c>
      <c r="C143" s="677"/>
      <c r="D143" s="678"/>
      <c r="E143" s="678"/>
      <c r="F143" s="678"/>
      <c r="G143" s="678"/>
      <c r="H143" s="678"/>
      <c r="I143" s="678"/>
      <c r="J143" s="678"/>
      <c r="K143" s="678"/>
      <c r="L143" s="679"/>
      <c r="M143" s="683"/>
      <c r="N143" s="683"/>
      <c r="O143" s="683"/>
      <c r="P143" s="683"/>
      <c r="Q143" s="683"/>
      <c r="R143" s="690"/>
      <c r="S143" s="691"/>
      <c r="T143" s="691"/>
      <c r="U143" s="691"/>
      <c r="V143" s="692"/>
      <c r="W143" s="584"/>
      <c r="X143" s="13"/>
      <c r="Y143" s="13"/>
      <c r="Z143" s="15"/>
      <c r="AA143" s="20"/>
      <c r="AB143" s="589" t="str">
        <f t="shared" si="4"/>
        <v/>
      </c>
      <c r="AC143" s="355"/>
    </row>
    <row r="144" spans="1:29" ht="37.5" customHeight="1">
      <c r="A144" s="117"/>
      <c r="B144" s="341">
        <f t="shared" si="3"/>
        <v>91</v>
      </c>
      <c r="C144" s="677"/>
      <c r="D144" s="678"/>
      <c r="E144" s="678"/>
      <c r="F144" s="678"/>
      <c r="G144" s="678"/>
      <c r="H144" s="678"/>
      <c r="I144" s="678"/>
      <c r="J144" s="678"/>
      <c r="K144" s="678"/>
      <c r="L144" s="679"/>
      <c r="M144" s="683"/>
      <c r="N144" s="683"/>
      <c r="O144" s="683"/>
      <c r="P144" s="683"/>
      <c r="Q144" s="683"/>
      <c r="R144" s="690"/>
      <c r="S144" s="691"/>
      <c r="T144" s="691"/>
      <c r="U144" s="691"/>
      <c r="V144" s="692"/>
      <c r="W144" s="584"/>
      <c r="X144" s="13"/>
      <c r="Y144" s="13"/>
      <c r="Z144" s="15"/>
      <c r="AA144" s="20"/>
      <c r="AB144" s="589" t="str">
        <f t="shared" si="4"/>
        <v/>
      </c>
      <c r="AC144" s="355"/>
    </row>
    <row r="145" spans="1:29" ht="37.5" customHeight="1">
      <c r="A145" s="117"/>
      <c r="B145" s="341">
        <f t="shared" si="3"/>
        <v>92</v>
      </c>
      <c r="C145" s="677"/>
      <c r="D145" s="678"/>
      <c r="E145" s="678"/>
      <c r="F145" s="678"/>
      <c r="G145" s="678"/>
      <c r="H145" s="678"/>
      <c r="I145" s="678"/>
      <c r="J145" s="678"/>
      <c r="K145" s="678"/>
      <c r="L145" s="679"/>
      <c r="M145" s="683"/>
      <c r="N145" s="683"/>
      <c r="O145" s="683"/>
      <c r="P145" s="683"/>
      <c r="Q145" s="683"/>
      <c r="R145" s="690"/>
      <c r="S145" s="691"/>
      <c r="T145" s="691"/>
      <c r="U145" s="691"/>
      <c r="V145" s="692"/>
      <c r="W145" s="584"/>
      <c r="X145" s="13"/>
      <c r="Y145" s="13"/>
      <c r="Z145" s="15"/>
      <c r="AA145" s="20"/>
      <c r="AB145" s="589" t="str">
        <f t="shared" si="4"/>
        <v/>
      </c>
      <c r="AC145" s="355"/>
    </row>
    <row r="146" spans="1:29" ht="37.5" customHeight="1">
      <c r="A146" s="117"/>
      <c r="B146" s="341">
        <f t="shared" ref="B146:B151" si="5">B145+1</f>
        <v>93</v>
      </c>
      <c r="C146" s="677"/>
      <c r="D146" s="678"/>
      <c r="E146" s="678"/>
      <c r="F146" s="678"/>
      <c r="G146" s="678"/>
      <c r="H146" s="678"/>
      <c r="I146" s="678"/>
      <c r="J146" s="678"/>
      <c r="K146" s="678"/>
      <c r="L146" s="679"/>
      <c r="M146" s="683"/>
      <c r="N146" s="683"/>
      <c r="O146" s="683"/>
      <c r="P146" s="683"/>
      <c r="Q146" s="683"/>
      <c r="R146" s="690"/>
      <c r="S146" s="691"/>
      <c r="T146" s="691"/>
      <c r="U146" s="691"/>
      <c r="V146" s="692"/>
      <c r="W146" s="584"/>
      <c r="X146" s="13"/>
      <c r="Y146" s="13"/>
      <c r="Z146" s="15"/>
      <c r="AA146" s="20"/>
      <c r="AB146" s="589" t="str">
        <f t="shared" si="4"/>
        <v/>
      </c>
      <c r="AC146" s="355"/>
    </row>
    <row r="147" spans="1:29" ht="37.5" customHeight="1">
      <c r="A147" s="117"/>
      <c r="B147" s="341">
        <f t="shared" si="5"/>
        <v>94</v>
      </c>
      <c r="C147" s="677"/>
      <c r="D147" s="678"/>
      <c r="E147" s="678"/>
      <c r="F147" s="678"/>
      <c r="G147" s="678"/>
      <c r="H147" s="678"/>
      <c r="I147" s="678"/>
      <c r="J147" s="678"/>
      <c r="K147" s="678"/>
      <c r="L147" s="679"/>
      <c r="M147" s="683"/>
      <c r="N147" s="683"/>
      <c r="O147" s="683"/>
      <c r="P147" s="683"/>
      <c r="Q147" s="683"/>
      <c r="R147" s="690"/>
      <c r="S147" s="691"/>
      <c r="T147" s="691"/>
      <c r="U147" s="691"/>
      <c r="V147" s="692"/>
      <c r="W147" s="584"/>
      <c r="X147" s="13"/>
      <c r="Y147" s="13"/>
      <c r="Z147" s="15"/>
      <c r="AA147" s="20"/>
      <c r="AB147" s="589" t="str">
        <f t="shared" si="4"/>
        <v/>
      </c>
      <c r="AC147" s="355"/>
    </row>
    <row r="148" spans="1:29" ht="37.5" customHeight="1">
      <c r="A148" s="117"/>
      <c r="B148" s="341">
        <f t="shared" si="5"/>
        <v>95</v>
      </c>
      <c r="C148" s="677"/>
      <c r="D148" s="678"/>
      <c r="E148" s="678"/>
      <c r="F148" s="678"/>
      <c r="G148" s="678"/>
      <c r="H148" s="678"/>
      <c r="I148" s="678"/>
      <c r="J148" s="678"/>
      <c r="K148" s="678"/>
      <c r="L148" s="679"/>
      <c r="M148" s="683"/>
      <c r="N148" s="683"/>
      <c r="O148" s="683"/>
      <c r="P148" s="683"/>
      <c r="Q148" s="683"/>
      <c r="R148" s="690"/>
      <c r="S148" s="691"/>
      <c r="T148" s="691"/>
      <c r="U148" s="691"/>
      <c r="V148" s="692"/>
      <c r="W148" s="584"/>
      <c r="X148" s="13"/>
      <c r="Y148" s="13"/>
      <c r="Z148" s="15"/>
      <c r="AA148" s="20"/>
      <c r="AB148" s="589" t="str">
        <f t="shared" si="4"/>
        <v/>
      </c>
      <c r="AC148" s="355"/>
    </row>
    <row r="149" spans="1:29" ht="37.5" customHeight="1">
      <c r="A149" s="117"/>
      <c r="B149" s="341">
        <f t="shared" si="5"/>
        <v>96</v>
      </c>
      <c r="C149" s="677"/>
      <c r="D149" s="678"/>
      <c r="E149" s="678"/>
      <c r="F149" s="678"/>
      <c r="G149" s="678"/>
      <c r="H149" s="678"/>
      <c r="I149" s="678"/>
      <c r="J149" s="678"/>
      <c r="K149" s="678"/>
      <c r="L149" s="679"/>
      <c r="M149" s="683"/>
      <c r="N149" s="683"/>
      <c r="O149" s="683"/>
      <c r="P149" s="683"/>
      <c r="Q149" s="683"/>
      <c r="R149" s="690"/>
      <c r="S149" s="691"/>
      <c r="T149" s="691"/>
      <c r="U149" s="691"/>
      <c r="V149" s="692"/>
      <c r="W149" s="584"/>
      <c r="X149" s="13"/>
      <c r="Y149" s="13"/>
      <c r="Z149" s="15"/>
      <c r="AA149" s="20"/>
      <c r="AB149" s="589" t="str">
        <f t="shared" si="4"/>
        <v/>
      </c>
      <c r="AC149" s="355"/>
    </row>
    <row r="150" spans="1:29" ht="37.5" customHeight="1">
      <c r="A150" s="117"/>
      <c r="B150" s="341">
        <f t="shared" si="5"/>
        <v>97</v>
      </c>
      <c r="C150" s="677"/>
      <c r="D150" s="678"/>
      <c r="E150" s="678"/>
      <c r="F150" s="678"/>
      <c r="G150" s="678"/>
      <c r="H150" s="678"/>
      <c r="I150" s="678"/>
      <c r="J150" s="678"/>
      <c r="K150" s="678"/>
      <c r="L150" s="679"/>
      <c r="M150" s="683"/>
      <c r="N150" s="683"/>
      <c r="O150" s="683"/>
      <c r="P150" s="683"/>
      <c r="Q150" s="683"/>
      <c r="R150" s="690"/>
      <c r="S150" s="691"/>
      <c r="T150" s="691"/>
      <c r="U150" s="691"/>
      <c r="V150" s="692"/>
      <c r="W150" s="584"/>
      <c r="X150" s="13"/>
      <c r="Y150" s="13"/>
      <c r="Z150" s="15"/>
      <c r="AA150" s="20"/>
      <c r="AB150" s="589" t="str">
        <f t="shared" si="4"/>
        <v/>
      </c>
      <c r="AC150" s="355"/>
    </row>
    <row r="151" spans="1:29" ht="37.5" customHeight="1">
      <c r="A151" s="117"/>
      <c r="B151" s="341">
        <f t="shared" si="5"/>
        <v>98</v>
      </c>
      <c r="C151" s="677"/>
      <c r="D151" s="678"/>
      <c r="E151" s="678"/>
      <c r="F151" s="678"/>
      <c r="G151" s="678"/>
      <c r="H151" s="678"/>
      <c r="I151" s="678"/>
      <c r="J151" s="678"/>
      <c r="K151" s="678"/>
      <c r="L151" s="679"/>
      <c r="M151" s="683"/>
      <c r="N151" s="683"/>
      <c r="O151" s="683"/>
      <c r="P151" s="683"/>
      <c r="Q151" s="683"/>
      <c r="R151" s="690"/>
      <c r="S151" s="691"/>
      <c r="T151" s="691"/>
      <c r="U151" s="691"/>
      <c r="V151" s="692"/>
      <c r="W151" s="584"/>
      <c r="X151" s="13"/>
      <c r="Y151" s="13"/>
      <c r="Z151" s="15"/>
      <c r="AA151" s="20"/>
      <c r="AB151" s="589" t="str">
        <f t="shared" si="4"/>
        <v/>
      </c>
      <c r="AC151" s="355"/>
    </row>
    <row r="152" spans="1:29" ht="37.5" customHeight="1">
      <c r="A152" s="117"/>
      <c r="B152" s="341">
        <f>B151+1</f>
        <v>99</v>
      </c>
      <c r="C152" s="677"/>
      <c r="D152" s="678"/>
      <c r="E152" s="678"/>
      <c r="F152" s="678"/>
      <c r="G152" s="678"/>
      <c r="H152" s="678"/>
      <c r="I152" s="678"/>
      <c r="J152" s="678"/>
      <c r="K152" s="678"/>
      <c r="L152" s="679"/>
      <c r="M152" s="683"/>
      <c r="N152" s="683"/>
      <c r="O152" s="683"/>
      <c r="P152" s="683"/>
      <c r="Q152" s="683"/>
      <c r="R152" s="690"/>
      <c r="S152" s="691"/>
      <c r="T152" s="691"/>
      <c r="U152" s="691"/>
      <c r="V152" s="692"/>
      <c r="W152" s="584"/>
      <c r="X152" s="13"/>
      <c r="Y152" s="13"/>
      <c r="Z152" s="15"/>
      <c r="AA152" s="20"/>
      <c r="AB152" s="589" t="str">
        <f t="shared" si="4"/>
        <v/>
      </c>
      <c r="AC152" s="355"/>
    </row>
    <row r="153" spans="1:29" ht="37.5" customHeight="1" thickBot="1">
      <c r="A153" s="117"/>
      <c r="B153" s="341">
        <f>B152+1</f>
        <v>100</v>
      </c>
      <c r="C153" s="680"/>
      <c r="D153" s="681"/>
      <c r="E153" s="681"/>
      <c r="F153" s="681"/>
      <c r="G153" s="681"/>
      <c r="H153" s="681"/>
      <c r="I153" s="681"/>
      <c r="J153" s="681"/>
      <c r="K153" s="681"/>
      <c r="L153" s="682"/>
      <c r="M153" s="700"/>
      <c r="N153" s="700"/>
      <c r="O153" s="700"/>
      <c r="P153" s="700"/>
      <c r="Q153" s="700"/>
      <c r="R153" s="756"/>
      <c r="S153" s="757"/>
      <c r="T153" s="757"/>
      <c r="U153" s="757"/>
      <c r="V153" s="758"/>
      <c r="W153" s="585"/>
      <c r="X153" s="16"/>
      <c r="Y153" s="16"/>
      <c r="Z153" s="80"/>
      <c r="AA153" s="81"/>
      <c r="AB153" s="590" t="str">
        <f t="shared" si="4"/>
        <v/>
      </c>
      <c r="AC153" s="355"/>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view="pageBreakPreview" topLeftCell="F27" zoomScale="120" zoomScaleNormal="120" zoomScaleSheetLayoutView="120" zoomScalePageLayoutView="64" workbookViewId="0">
      <selection activeCell="H7" sqref="H7:AK7"/>
    </sheetView>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84"/>
      <c r="B1" s="396" t="s">
        <v>2055</v>
      </c>
      <c r="C1" s="86"/>
      <c r="D1" s="86"/>
      <c r="E1" s="86"/>
      <c r="F1" s="86"/>
      <c r="G1" s="86"/>
      <c r="H1" s="86"/>
      <c r="I1" s="86"/>
      <c r="J1" s="86"/>
      <c r="K1" s="86"/>
      <c r="L1" s="86"/>
      <c r="M1" s="86"/>
      <c r="N1" s="86"/>
      <c r="O1" s="86"/>
      <c r="P1" s="86"/>
      <c r="Q1" s="86"/>
      <c r="R1" s="86"/>
      <c r="S1" s="86"/>
      <c r="T1" s="86"/>
      <c r="U1" s="86"/>
      <c r="V1" s="86"/>
      <c r="W1" s="86"/>
      <c r="X1" s="86"/>
      <c r="Y1" s="86"/>
      <c r="Z1" s="942" t="s">
        <v>47</v>
      </c>
      <c r="AA1" s="942"/>
      <c r="AB1" s="942"/>
      <c r="AC1" s="942"/>
      <c r="AD1" s="942" t="str">
        <f>IF(基本情報入力シート!C33="","",基本情報入力シート!C33)</f>
        <v/>
      </c>
      <c r="AE1" s="942"/>
      <c r="AF1" s="942"/>
      <c r="AG1" s="942"/>
      <c r="AH1" s="942"/>
      <c r="AI1" s="942"/>
      <c r="AJ1" s="942"/>
      <c r="AK1" s="942"/>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59" t="s">
        <v>2316</v>
      </c>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87"/>
      <c r="AM3" s="88"/>
    </row>
    <row r="4" spans="1:39" ht="9" customHeight="1">
      <c r="A4" s="84"/>
      <c r="B4" s="89"/>
      <c r="C4" s="90"/>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1" t="s">
        <v>1986</v>
      </c>
      <c r="C5" s="91"/>
      <c r="D5" s="91"/>
      <c r="E5" s="91"/>
      <c r="F5" s="91"/>
      <c r="G5" s="91"/>
      <c r="H5" s="91"/>
      <c r="I5" s="91"/>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84"/>
    </row>
    <row r="6" spans="1:39" s="94" customFormat="1" ht="13.5" customHeight="1">
      <c r="A6" s="93"/>
      <c r="B6" s="947" t="s">
        <v>63</v>
      </c>
      <c r="C6" s="948"/>
      <c r="D6" s="948"/>
      <c r="E6" s="948"/>
      <c r="F6" s="948"/>
      <c r="G6" s="949"/>
      <c r="H6" s="950" t="str">
        <f>IF(基本情報入力シート!M37="","",基本情報入力シート!M37)</f>
        <v/>
      </c>
      <c r="I6" s="950"/>
      <c r="J6" s="950"/>
      <c r="K6" s="950"/>
      <c r="L6" s="950"/>
      <c r="M6" s="950"/>
      <c r="N6" s="950"/>
      <c r="O6" s="950"/>
      <c r="P6" s="950"/>
      <c r="Q6" s="950"/>
      <c r="R6" s="950"/>
      <c r="S6" s="950"/>
      <c r="T6" s="950"/>
      <c r="U6" s="950"/>
      <c r="V6" s="950"/>
      <c r="W6" s="950"/>
      <c r="X6" s="950"/>
      <c r="Y6" s="950"/>
      <c r="Z6" s="950"/>
      <c r="AA6" s="950"/>
      <c r="AB6" s="950"/>
      <c r="AC6" s="950"/>
      <c r="AD6" s="950"/>
      <c r="AE6" s="950"/>
      <c r="AF6" s="950"/>
      <c r="AG6" s="950"/>
      <c r="AH6" s="950"/>
      <c r="AI6" s="950"/>
      <c r="AJ6" s="950"/>
      <c r="AK6" s="951"/>
      <c r="AL6" s="93"/>
    </row>
    <row r="7" spans="1:39" s="94" customFormat="1" ht="25.5" customHeight="1">
      <c r="A7" s="93"/>
      <c r="B7" s="954" t="s">
        <v>62</v>
      </c>
      <c r="C7" s="955"/>
      <c r="D7" s="955"/>
      <c r="E7" s="955"/>
      <c r="F7" s="955"/>
      <c r="G7" s="956"/>
      <c r="H7" s="952" t="str">
        <f>IF(基本情報入力シート!M38="","",基本情報入力シート!M38)</f>
        <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93"/>
    </row>
    <row r="8" spans="1:39" s="94" customFormat="1" ht="12.75" customHeight="1">
      <c r="A8" s="93"/>
      <c r="B8" s="983" t="s">
        <v>66</v>
      </c>
      <c r="C8" s="984"/>
      <c r="D8" s="984"/>
      <c r="E8" s="984"/>
      <c r="F8" s="984"/>
      <c r="G8" s="985"/>
      <c r="H8" s="95" t="s">
        <v>6</v>
      </c>
      <c r="I8" s="961" t="str">
        <f>IF(基本情報入力シート!AD33="－","",基本情報入力シート!AD33)</f>
        <v/>
      </c>
      <c r="J8" s="961"/>
      <c r="K8" s="961"/>
      <c r="L8" s="961"/>
      <c r="M8" s="961"/>
      <c r="N8" s="96"/>
      <c r="O8" s="97"/>
      <c r="P8" s="97"/>
      <c r="Q8" s="97"/>
      <c r="R8" s="97"/>
      <c r="S8" s="97"/>
      <c r="T8" s="97"/>
      <c r="U8" s="97"/>
      <c r="V8" s="97"/>
      <c r="W8" s="97"/>
      <c r="X8" s="97"/>
      <c r="Y8" s="97"/>
      <c r="Z8" s="97"/>
      <c r="AA8" s="97"/>
      <c r="AB8" s="97"/>
      <c r="AC8" s="97"/>
      <c r="AD8" s="97"/>
      <c r="AE8" s="97"/>
      <c r="AF8" s="97"/>
      <c r="AG8" s="97"/>
      <c r="AH8" s="97"/>
      <c r="AI8" s="97"/>
      <c r="AJ8" s="97"/>
      <c r="AK8" s="98"/>
      <c r="AL8" s="93"/>
    </row>
    <row r="9" spans="1:39" s="94" customFormat="1" ht="16.5" customHeight="1">
      <c r="A9" s="93"/>
      <c r="B9" s="962"/>
      <c r="C9" s="963"/>
      <c r="D9" s="963"/>
      <c r="E9" s="963"/>
      <c r="F9" s="963"/>
      <c r="G9" s="964"/>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93"/>
    </row>
    <row r="10" spans="1:39" s="94" customFormat="1" ht="16.5" customHeight="1">
      <c r="A10" s="93"/>
      <c r="B10" s="962"/>
      <c r="C10" s="963"/>
      <c r="D10" s="963"/>
      <c r="E10" s="963"/>
      <c r="F10" s="963"/>
      <c r="G10" s="964"/>
      <c r="H10" s="982" t="str">
        <f>IF(基本情報入力シート!M41="","",基本情報入力シート!M41)</f>
        <v/>
      </c>
      <c r="I10" s="968"/>
      <c r="J10" s="968"/>
      <c r="K10" s="968"/>
      <c r="L10" s="968"/>
      <c r="M10" s="968"/>
      <c r="N10" s="968"/>
      <c r="O10" s="968"/>
      <c r="P10" s="968"/>
      <c r="Q10" s="968"/>
      <c r="R10" s="968"/>
      <c r="S10" s="968"/>
      <c r="T10" s="968"/>
      <c r="U10" s="968"/>
      <c r="V10" s="968"/>
      <c r="W10" s="968"/>
      <c r="X10" s="968"/>
      <c r="Y10" s="968"/>
      <c r="Z10" s="968"/>
      <c r="AA10" s="968"/>
      <c r="AB10" s="968"/>
      <c r="AC10" s="968"/>
      <c r="AD10" s="968"/>
      <c r="AE10" s="968"/>
      <c r="AF10" s="968"/>
      <c r="AG10" s="968"/>
      <c r="AH10" s="968"/>
      <c r="AI10" s="968"/>
      <c r="AJ10" s="968"/>
      <c r="AK10" s="969"/>
      <c r="AL10" s="93"/>
    </row>
    <row r="11" spans="1:39" s="94" customFormat="1" ht="13.5" customHeight="1">
      <c r="A11" s="93"/>
      <c r="B11" s="986" t="s">
        <v>63</v>
      </c>
      <c r="C11" s="987"/>
      <c r="D11" s="987"/>
      <c r="E11" s="987"/>
      <c r="F11" s="987"/>
      <c r="G11" s="988"/>
      <c r="H11" s="950" t="str">
        <f>IF(基本情報入力シート!M44="","",基本情報入力シート!M44)</f>
        <v/>
      </c>
      <c r="I11" s="950"/>
      <c r="J11" s="950"/>
      <c r="K11" s="950"/>
      <c r="L11" s="950"/>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1"/>
      <c r="AL11" s="93"/>
    </row>
    <row r="12" spans="1:39" s="94" customFormat="1" ht="22.5" customHeight="1">
      <c r="A12" s="93"/>
      <c r="B12" s="962" t="s">
        <v>61</v>
      </c>
      <c r="C12" s="963"/>
      <c r="D12" s="963"/>
      <c r="E12" s="963"/>
      <c r="F12" s="963"/>
      <c r="G12" s="964"/>
      <c r="H12" s="968" t="str">
        <f>IF(基本情報入力シート!M45="","",基本情報入力シート!M45)</f>
        <v/>
      </c>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8"/>
      <c r="AK12" s="969"/>
      <c r="AL12" s="93"/>
    </row>
    <row r="13" spans="1:39" s="94" customFormat="1" ht="18.75" customHeight="1">
      <c r="A13" s="93"/>
      <c r="B13" s="965" t="s">
        <v>65</v>
      </c>
      <c r="C13" s="965"/>
      <c r="D13" s="965"/>
      <c r="E13" s="965"/>
      <c r="F13" s="965"/>
      <c r="G13" s="965"/>
      <c r="H13" s="989" t="s">
        <v>0</v>
      </c>
      <c r="I13" s="965"/>
      <c r="J13" s="965"/>
      <c r="K13" s="965"/>
      <c r="L13" s="994" t="str">
        <f>IF(基本情報入力シート!M46="","",基本情報入力シート!M46)</f>
        <v/>
      </c>
      <c r="M13" s="995"/>
      <c r="N13" s="995"/>
      <c r="O13" s="995"/>
      <c r="P13" s="995"/>
      <c r="Q13" s="995"/>
      <c r="R13" s="995"/>
      <c r="S13" s="995"/>
      <c r="T13" s="995"/>
      <c r="U13" s="996"/>
      <c r="V13" s="997" t="s">
        <v>64</v>
      </c>
      <c r="W13" s="998"/>
      <c r="X13" s="998"/>
      <c r="Y13" s="989"/>
      <c r="Z13" s="994" t="str">
        <f>IF(基本情報入力シート!M47="","",基本情報入力シート!M47)</f>
        <v/>
      </c>
      <c r="AA13" s="995"/>
      <c r="AB13" s="995"/>
      <c r="AC13" s="995"/>
      <c r="AD13" s="995"/>
      <c r="AE13" s="995"/>
      <c r="AF13" s="995"/>
      <c r="AG13" s="995"/>
      <c r="AH13" s="995"/>
      <c r="AI13" s="995"/>
      <c r="AJ13" s="995"/>
      <c r="AK13" s="996"/>
      <c r="AL13" s="93"/>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99" t="s">
        <v>1985</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84"/>
    </row>
    <row r="16" spans="1:39" ht="18.75" customHeight="1">
      <c r="A16" s="84"/>
      <c r="B16" s="101" t="s">
        <v>131</v>
      </c>
      <c r="C16" s="102"/>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0" t="s">
        <v>2073</v>
      </c>
      <c r="C17" s="971"/>
      <c r="D17" s="971"/>
      <c r="E17" s="971"/>
      <c r="F17" s="971"/>
      <c r="G17" s="971"/>
      <c r="H17" s="971"/>
      <c r="I17" s="971"/>
      <c r="J17" s="971"/>
      <c r="K17" s="971"/>
      <c r="L17" s="971"/>
      <c r="M17" s="971"/>
      <c r="N17" s="971"/>
      <c r="O17" s="971"/>
      <c r="P17" s="971"/>
      <c r="Q17" s="971"/>
      <c r="R17" s="971"/>
      <c r="S17" s="971"/>
      <c r="T17" s="971"/>
      <c r="U17" s="971"/>
      <c r="V17" s="971"/>
      <c r="W17" s="972"/>
      <c r="X17" s="86"/>
      <c r="Y17" s="86"/>
      <c r="Z17" s="86"/>
      <c r="AA17" s="86"/>
      <c r="AB17" s="86"/>
      <c r="AC17" s="86"/>
      <c r="AD17" s="86"/>
      <c r="AE17" s="86"/>
      <c r="AF17" s="86"/>
      <c r="AG17" s="86"/>
      <c r="AH17" s="86"/>
      <c r="AI17" s="86"/>
      <c r="AJ17" s="86"/>
      <c r="AK17" s="86"/>
      <c r="AL17" s="84"/>
    </row>
    <row r="18" spans="1:51" ht="26.25" customHeight="1">
      <c r="A18" s="84"/>
      <c r="B18" s="103" t="s">
        <v>8</v>
      </c>
      <c r="C18" s="967" t="s">
        <v>2054</v>
      </c>
      <c r="D18" s="967"/>
      <c r="E18" s="967"/>
      <c r="F18" s="967"/>
      <c r="G18" s="967"/>
      <c r="H18" s="967"/>
      <c r="I18" s="967"/>
      <c r="J18" s="967"/>
      <c r="K18" s="967"/>
      <c r="L18" s="967"/>
      <c r="M18" s="967"/>
      <c r="N18" s="967"/>
      <c r="O18" s="967"/>
      <c r="P18" s="990"/>
      <c r="Q18" s="944">
        <f>SUM('別紙様式2-2（４・５月分）'!K5,'別紙様式2-2（４・５月分）'!K6,'別紙様式2-2（４・５月分）'!K7,'別紙様式2-3（６月以降分）'!L5,'別紙様式2-4（年度内の区分変更がある場合に記入）'!L5)</f>
        <v>0</v>
      </c>
      <c r="R18" s="945"/>
      <c r="S18" s="945"/>
      <c r="T18" s="945"/>
      <c r="U18" s="945"/>
      <c r="V18" s="946"/>
      <c r="W18" s="104" t="s">
        <v>1</v>
      </c>
      <c r="X18" s="84"/>
      <c r="Y18" s="84"/>
      <c r="Z18" s="86"/>
      <c r="AA18" s="86"/>
      <c r="AB18" s="86"/>
      <c r="AC18" s="86"/>
      <c r="AD18" s="84"/>
      <c r="AE18" s="84"/>
      <c r="AF18" s="84"/>
      <c r="AG18" s="84"/>
      <c r="AH18" s="84"/>
      <c r="AI18" s="84"/>
      <c r="AJ18" s="84"/>
      <c r="AK18" s="84"/>
      <c r="AL18" s="84"/>
    </row>
    <row r="19" spans="1:51" ht="26.25" customHeight="1" thickBot="1">
      <c r="A19" s="84"/>
      <c r="B19" s="105"/>
      <c r="C19" s="106" t="s">
        <v>2069</v>
      </c>
      <c r="D19" s="966" t="s">
        <v>2072</v>
      </c>
      <c r="E19" s="966"/>
      <c r="F19" s="966"/>
      <c r="G19" s="966"/>
      <c r="H19" s="966"/>
      <c r="I19" s="966"/>
      <c r="J19" s="966"/>
      <c r="K19" s="966"/>
      <c r="L19" s="966"/>
      <c r="M19" s="966"/>
      <c r="N19" s="966"/>
      <c r="O19" s="966"/>
      <c r="P19" s="975"/>
      <c r="Q19" s="944">
        <f>SUM('別紙様式2-2（４・５月分）'!K9,'別紙様式2-3（６月以降分）'!L8,'別紙様式2-4（年度内の区分変更がある場合に記入）'!L8)</f>
        <v>0</v>
      </c>
      <c r="R19" s="945"/>
      <c r="S19" s="945"/>
      <c r="T19" s="945"/>
      <c r="U19" s="945"/>
      <c r="V19" s="946"/>
      <c r="W19" s="104" t="s">
        <v>1</v>
      </c>
      <c r="X19" s="84"/>
      <c r="Y19" s="84"/>
      <c r="Z19" s="86"/>
      <c r="AA19" s="86"/>
      <c r="AB19" s="84"/>
      <c r="AC19" s="84"/>
      <c r="AD19" s="84"/>
      <c r="AE19" s="84"/>
      <c r="AF19" s="84"/>
      <c r="AG19" s="84"/>
      <c r="AH19" s="84"/>
      <c r="AI19" s="84"/>
      <c r="AJ19" s="84"/>
      <c r="AK19" s="84"/>
      <c r="AL19" s="84"/>
    </row>
    <row r="20" spans="1:51" ht="30" customHeight="1" thickBot="1">
      <c r="A20" s="84"/>
      <c r="B20" s="107"/>
      <c r="C20" s="108"/>
      <c r="D20" s="109" t="s">
        <v>2071</v>
      </c>
      <c r="E20" s="966" t="s">
        <v>2070</v>
      </c>
      <c r="F20" s="966"/>
      <c r="G20" s="966"/>
      <c r="H20" s="966"/>
      <c r="I20" s="966"/>
      <c r="J20" s="966"/>
      <c r="K20" s="966"/>
      <c r="L20" s="966"/>
      <c r="M20" s="966"/>
      <c r="N20" s="966"/>
      <c r="O20" s="966"/>
      <c r="P20" s="999"/>
      <c r="Q20" s="976"/>
      <c r="R20" s="977"/>
      <c r="S20" s="977"/>
      <c r="T20" s="977"/>
      <c r="U20" s="977"/>
      <c r="V20" s="978"/>
      <c r="W20" s="110" t="s">
        <v>1</v>
      </c>
      <c r="X20" s="86" t="s">
        <v>118</v>
      </c>
      <c r="Y20" s="111" t="str">
        <f>IF(Q20&gt;Q19,"×","")</f>
        <v/>
      </c>
      <c r="Z20" s="84"/>
      <c r="AA20" s="84"/>
      <c r="AB20" s="84"/>
      <c r="AC20" s="84"/>
      <c r="AD20" s="84"/>
      <c r="AE20" s="84"/>
      <c r="AF20" s="84"/>
      <c r="AG20" s="84"/>
      <c r="AH20" s="84"/>
      <c r="AI20" s="84"/>
      <c r="AJ20" s="84"/>
      <c r="AK20" s="84"/>
      <c r="AL20" s="84"/>
      <c r="AM20" s="939" t="s">
        <v>2103</v>
      </c>
      <c r="AN20" s="940"/>
      <c r="AO20" s="940"/>
      <c r="AP20" s="940"/>
      <c r="AQ20" s="940"/>
      <c r="AR20" s="940"/>
      <c r="AS20" s="940"/>
      <c r="AT20" s="940"/>
      <c r="AU20" s="940"/>
      <c r="AV20" s="940"/>
      <c r="AW20" s="940"/>
      <c r="AX20" s="940"/>
      <c r="AY20" s="941"/>
    </row>
    <row r="21" spans="1:51" ht="28.5" customHeight="1" thickBot="1">
      <c r="A21" s="84"/>
      <c r="B21" s="112" t="s">
        <v>9</v>
      </c>
      <c r="C21" s="966" t="s">
        <v>2120</v>
      </c>
      <c r="D21" s="967"/>
      <c r="E21" s="967"/>
      <c r="F21" s="967"/>
      <c r="G21" s="967"/>
      <c r="H21" s="967"/>
      <c r="I21" s="967"/>
      <c r="J21" s="967"/>
      <c r="K21" s="967"/>
      <c r="L21" s="967"/>
      <c r="M21" s="967"/>
      <c r="N21" s="967"/>
      <c r="O21" s="967"/>
      <c r="P21" s="967"/>
      <c r="Q21" s="944">
        <f>Q18-Q20</f>
        <v>0</v>
      </c>
      <c r="R21" s="945"/>
      <c r="S21" s="945"/>
      <c r="T21" s="945"/>
      <c r="U21" s="945"/>
      <c r="V21" s="946"/>
      <c r="W21" s="113" t="s">
        <v>1</v>
      </c>
      <c r="X21" s="86" t="s">
        <v>167</v>
      </c>
      <c r="Y21" s="1035" t="str">
        <f>IFERROR(IF(Q22&gt;=Q21,"○","×"),"")</f>
        <v>○</v>
      </c>
      <c r="Z21" s="84"/>
      <c r="AA21" s="84"/>
      <c r="AB21" s="84"/>
      <c r="AC21" s="84"/>
      <c r="AD21" s="84"/>
      <c r="AE21" s="84"/>
      <c r="AF21" s="84"/>
      <c r="AG21" s="84"/>
      <c r="AH21" s="84"/>
      <c r="AI21" s="84"/>
      <c r="AJ21" s="84"/>
      <c r="AK21" s="84"/>
      <c r="AL21" s="84"/>
      <c r="AM21" s="887" t="s">
        <v>2180</v>
      </c>
      <c r="AN21" s="888"/>
      <c r="AO21" s="888"/>
      <c r="AP21" s="888"/>
      <c r="AQ21" s="888"/>
      <c r="AR21" s="888"/>
      <c r="AS21" s="888"/>
      <c r="AT21" s="888"/>
      <c r="AU21" s="888"/>
      <c r="AV21" s="888"/>
      <c r="AW21" s="888"/>
      <c r="AX21" s="888"/>
      <c r="AY21" s="889"/>
    </row>
    <row r="22" spans="1:51" ht="30" customHeight="1" thickBot="1">
      <c r="A22" s="84"/>
      <c r="B22" s="112" t="s">
        <v>89</v>
      </c>
      <c r="C22" s="966" t="s">
        <v>2076</v>
      </c>
      <c r="D22" s="966"/>
      <c r="E22" s="966"/>
      <c r="F22" s="966"/>
      <c r="G22" s="966"/>
      <c r="H22" s="966"/>
      <c r="I22" s="966"/>
      <c r="J22" s="966"/>
      <c r="K22" s="966"/>
      <c r="L22" s="966"/>
      <c r="M22" s="966"/>
      <c r="N22" s="966"/>
      <c r="O22" s="966"/>
      <c r="P22" s="966"/>
      <c r="Q22" s="976"/>
      <c r="R22" s="977"/>
      <c r="S22" s="977"/>
      <c r="T22" s="977"/>
      <c r="U22" s="977"/>
      <c r="V22" s="978"/>
      <c r="W22" s="114" t="s">
        <v>1</v>
      </c>
      <c r="X22" s="86" t="s">
        <v>167</v>
      </c>
      <c r="Y22" s="1036"/>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0" t="s">
        <v>2074</v>
      </c>
      <c r="C24" s="971"/>
      <c r="D24" s="971"/>
      <c r="E24" s="971"/>
      <c r="F24" s="971"/>
      <c r="G24" s="971"/>
      <c r="H24" s="971"/>
      <c r="I24" s="971"/>
      <c r="J24" s="971"/>
      <c r="K24" s="971"/>
      <c r="L24" s="971"/>
      <c r="M24" s="971"/>
      <c r="N24" s="971"/>
      <c r="O24" s="971"/>
      <c r="P24" s="971"/>
      <c r="Q24" s="993"/>
      <c r="R24" s="993"/>
      <c r="S24" s="993"/>
      <c r="T24" s="993"/>
      <c r="U24" s="993"/>
      <c r="V24" s="993"/>
      <c r="W24" s="972"/>
      <c r="X24" s="86"/>
      <c r="Y24" s="86"/>
      <c r="Z24" s="86"/>
      <c r="AA24" s="86"/>
      <c r="AB24" s="84"/>
      <c r="AC24" s="84"/>
      <c r="AD24" s="84"/>
      <c r="AE24" s="84"/>
      <c r="AF24" s="84"/>
      <c r="AG24" s="84"/>
      <c r="AH24" s="84"/>
      <c r="AI24" s="84"/>
      <c r="AJ24" s="84"/>
      <c r="AK24" s="84"/>
      <c r="AL24" s="84"/>
    </row>
    <row r="25" spans="1:51" ht="27" customHeight="1" thickBot="1">
      <c r="A25" s="84"/>
      <c r="B25" s="112" t="s">
        <v>1968</v>
      </c>
      <c r="C25" s="966" t="s">
        <v>2119</v>
      </c>
      <c r="D25" s="966"/>
      <c r="E25" s="966"/>
      <c r="F25" s="966"/>
      <c r="G25" s="966"/>
      <c r="H25" s="966"/>
      <c r="I25" s="966"/>
      <c r="J25" s="966"/>
      <c r="K25" s="966"/>
      <c r="L25" s="966"/>
      <c r="M25" s="966"/>
      <c r="N25" s="966"/>
      <c r="O25" s="966"/>
      <c r="P25" s="975"/>
      <c r="Q25" s="991">
        <f>Q19-Q20</f>
        <v>0</v>
      </c>
      <c r="R25" s="992"/>
      <c r="S25" s="992"/>
      <c r="T25" s="992"/>
      <c r="U25" s="992"/>
      <c r="V25" s="992"/>
      <c r="W25" s="104" t="s">
        <v>1</v>
      </c>
      <c r="X25" s="86" t="s">
        <v>118</v>
      </c>
      <c r="Y25" s="973" t="str">
        <f>IFERROR(IF(Q25&lt;=0,"",IF(Q26&gt;=Q25,"○","△")),"")</f>
        <v/>
      </c>
      <c r="Z25" s="86" t="s">
        <v>2065</v>
      </c>
      <c r="AA25" s="1035" t="str">
        <f>IFERROR(IF(Y25="△",IF(Q28&gt;=Q25,"○","△"),""),"")</f>
        <v/>
      </c>
      <c r="AB25" s="84"/>
      <c r="AC25" s="84"/>
      <c r="AD25" s="84"/>
      <c r="AE25" s="84"/>
      <c r="AF25" s="84"/>
      <c r="AG25" s="84"/>
      <c r="AH25" s="84"/>
      <c r="AI25" s="84"/>
      <c r="AJ25" s="84"/>
      <c r="AK25" s="84"/>
      <c r="AL25" s="84"/>
    </row>
    <row r="26" spans="1:51" ht="37.5" customHeight="1" thickBot="1">
      <c r="A26" s="84"/>
      <c r="B26" s="112" t="s">
        <v>2064</v>
      </c>
      <c r="C26" s="966" t="s">
        <v>2144</v>
      </c>
      <c r="D26" s="966"/>
      <c r="E26" s="966"/>
      <c r="F26" s="966"/>
      <c r="G26" s="966"/>
      <c r="H26" s="966"/>
      <c r="I26" s="966"/>
      <c r="J26" s="966"/>
      <c r="K26" s="966"/>
      <c r="L26" s="966"/>
      <c r="M26" s="966"/>
      <c r="N26" s="966"/>
      <c r="O26" s="966"/>
      <c r="P26" s="975"/>
      <c r="Q26" s="976"/>
      <c r="R26" s="977"/>
      <c r="S26" s="977"/>
      <c r="T26" s="977"/>
      <c r="U26" s="977"/>
      <c r="V26" s="978"/>
      <c r="W26" s="104" t="s">
        <v>1</v>
      </c>
      <c r="X26" s="86" t="s">
        <v>118</v>
      </c>
      <c r="Y26" s="974"/>
      <c r="Z26" s="86"/>
      <c r="AA26" s="1057"/>
      <c r="AB26" s="84"/>
      <c r="AC26" s="84"/>
      <c r="AD26" s="84"/>
      <c r="AE26" s="84"/>
      <c r="AF26" s="84"/>
      <c r="AG26" s="84"/>
      <c r="AH26" s="84"/>
      <c r="AI26" s="84"/>
      <c r="AJ26" s="84"/>
      <c r="AK26" s="84"/>
      <c r="AL26" s="84"/>
    </row>
    <row r="27" spans="1:51" ht="26.25" customHeight="1" thickBot="1">
      <c r="A27" s="84"/>
      <c r="B27" s="112" t="s">
        <v>2066</v>
      </c>
      <c r="C27" s="966" t="s">
        <v>2105</v>
      </c>
      <c r="D27" s="966"/>
      <c r="E27" s="966"/>
      <c r="F27" s="966"/>
      <c r="G27" s="966"/>
      <c r="H27" s="966"/>
      <c r="I27" s="966"/>
      <c r="J27" s="966"/>
      <c r="K27" s="966"/>
      <c r="L27" s="966"/>
      <c r="M27" s="966"/>
      <c r="N27" s="966"/>
      <c r="O27" s="966"/>
      <c r="P27" s="975"/>
      <c r="Q27" s="976"/>
      <c r="R27" s="977"/>
      <c r="S27" s="977"/>
      <c r="T27" s="977"/>
      <c r="U27" s="977"/>
      <c r="V27" s="978"/>
      <c r="W27" s="104" t="s">
        <v>1</v>
      </c>
      <c r="X27" s="86"/>
      <c r="Y27" s="86"/>
      <c r="Z27" s="86"/>
      <c r="AA27" s="1057"/>
      <c r="AB27" s="84"/>
      <c r="AC27" s="84"/>
      <c r="AD27" s="84"/>
      <c r="AE27" s="84"/>
      <c r="AF27" s="84"/>
      <c r="AG27" s="84"/>
      <c r="AH27" s="84"/>
      <c r="AI27" s="84"/>
      <c r="AJ27" s="84"/>
      <c r="AK27" s="84"/>
      <c r="AL27" s="84"/>
      <c r="AM27" s="762" t="s">
        <v>2203</v>
      </c>
      <c r="AN27" s="763"/>
      <c r="AO27" s="763"/>
      <c r="AP27" s="763"/>
      <c r="AQ27" s="763"/>
      <c r="AR27" s="763"/>
      <c r="AS27" s="763"/>
      <c r="AT27" s="763"/>
      <c r="AU27" s="763"/>
      <c r="AV27" s="763"/>
      <c r="AW27" s="763"/>
      <c r="AX27" s="763"/>
      <c r="AY27" s="764"/>
    </row>
    <row r="28" spans="1:51" ht="16.5" customHeight="1" thickBot="1">
      <c r="A28" s="84"/>
      <c r="B28" s="112" t="s">
        <v>2075</v>
      </c>
      <c r="C28" s="966" t="s">
        <v>2118</v>
      </c>
      <c r="D28" s="966"/>
      <c r="E28" s="966"/>
      <c r="F28" s="966"/>
      <c r="G28" s="966"/>
      <c r="H28" s="966"/>
      <c r="I28" s="966"/>
      <c r="J28" s="966"/>
      <c r="K28" s="966"/>
      <c r="L28" s="966"/>
      <c r="M28" s="966"/>
      <c r="N28" s="966"/>
      <c r="O28" s="966"/>
      <c r="P28" s="975"/>
      <c r="Q28" s="1054">
        <f>Q26+Q27</f>
        <v>0</v>
      </c>
      <c r="R28" s="1055"/>
      <c r="S28" s="1055"/>
      <c r="T28" s="1055"/>
      <c r="U28" s="1055"/>
      <c r="V28" s="1056"/>
      <c r="W28" s="104" t="s">
        <v>1</v>
      </c>
      <c r="X28" s="84"/>
      <c r="Y28" s="84"/>
      <c r="Z28" s="84" t="s">
        <v>2065</v>
      </c>
      <c r="AA28" s="1036"/>
      <c r="AB28" s="84"/>
      <c r="AC28" s="84"/>
      <c r="AD28" s="84"/>
      <c r="AE28" s="84"/>
      <c r="AF28" s="84"/>
      <c r="AG28" s="84"/>
      <c r="AH28" s="84"/>
      <c r="AI28" s="84"/>
      <c r="AJ28" s="84"/>
      <c r="AK28" s="84"/>
      <c r="AL28" s="84"/>
      <c r="AM28" s="765"/>
      <c r="AN28" s="766"/>
      <c r="AO28" s="766"/>
      <c r="AP28" s="766"/>
      <c r="AQ28" s="766"/>
      <c r="AR28" s="766"/>
      <c r="AS28" s="766"/>
      <c r="AT28" s="766"/>
      <c r="AU28" s="766"/>
      <c r="AV28" s="766"/>
      <c r="AW28" s="766"/>
      <c r="AX28" s="766"/>
      <c r="AY28" s="767"/>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5"/>
      <c r="AV29" s="116"/>
    </row>
    <row r="30" spans="1:51" ht="16.5" customHeight="1">
      <c r="A30" s="117"/>
      <c r="B30" s="118"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19" t="s">
        <v>41</v>
      </c>
      <c r="C31" s="960" t="s">
        <v>2104</v>
      </c>
      <c r="D31" s="960"/>
      <c r="E31" s="960"/>
      <c r="F31" s="960"/>
      <c r="G31" s="960"/>
      <c r="H31" s="960"/>
      <c r="I31" s="960"/>
      <c r="J31" s="960"/>
      <c r="K31" s="960"/>
      <c r="L31" s="960"/>
      <c r="M31" s="960"/>
      <c r="N31" s="960"/>
      <c r="O31" s="960"/>
      <c r="P31" s="960"/>
      <c r="Q31" s="960"/>
      <c r="R31" s="960"/>
      <c r="S31" s="960"/>
      <c r="T31" s="960"/>
      <c r="U31" s="960"/>
      <c r="V31" s="960"/>
      <c r="W31" s="960"/>
      <c r="X31" s="960"/>
      <c r="Y31" s="960"/>
      <c r="Z31" s="960"/>
      <c r="AA31" s="960"/>
      <c r="AB31" s="960"/>
      <c r="AC31" s="960"/>
      <c r="AD31" s="960"/>
      <c r="AE31" s="960"/>
      <c r="AF31" s="960"/>
      <c r="AG31" s="960"/>
      <c r="AH31" s="960"/>
      <c r="AI31" s="960"/>
      <c r="AJ31" s="960"/>
      <c r="AK31" s="960"/>
      <c r="AL31" s="84"/>
    </row>
    <row r="32" spans="1:51" ht="48" customHeight="1">
      <c r="A32" s="84"/>
      <c r="B32" s="119" t="s">
        <v>41</v>
      </c>
      <c r="C32" s="960" t="s">
        <v>2317</v>
      </c>
      <c r="D32" s="960"/>
      <c r="E32" s="960"/>
      <c r="F32" s="960"/>
      <c r="G32" s="960"/>
      <c r="H32" s="960"/>
      <c r="I32" s="960"/>
      <c r="J32" s="960"/>
      <c r="K32" s="960"/>
      <c r="L32" s="960"/>
      <c r="M32" s="960"/>
      <c r="N32" s="960"/>
      <c r="O32" s="960"/>
      <c r="P32" s="960"/>
      <c r="Q32" s="960"/>
      <c r="R32" s="960"/>
      <c r="S32" s="960"/>
      <c r="T32" s="960"/>
      <c r="U32" s="960"/>
      <c r="V32" s="960"/>
      <c r="W32" s="960"/>
      <c r="X32" s="960"/>
      <c r="Y32" s="960"/>
      <c r="Z32" s="960"/>
      <c r="AA32" s="960"/>
      <c r="AB32" s="960"/>
      <c r="AC32" s="960"/>
      <c r="AD32" s="960"/>
      <c r="AE32" s="960"/>
      <c r="AF32" s="960"/>
      <c r="AG32" s="960"/>
      <c r="AH32" s="960"/>
      <c r="AI32" s="960"/>
      <c r="AJ32" s="960"/>
      <c r="AK32" s="960"/>
      <c r="AL32" s="84"/>
    </row>
    <row r="33" spans="1:51" ht="24.75" customHeight="1">
      <c r="A33" s="84"/>
      <c r="B33" s="119" t="s">
        <v>41</v>
      </c>
      <c r="C33" s="960" t="s">
        <v>2318</v>
      </c>
      <c r="D33" s="960"/>
      <c r="E33" s="960"/>
      <c r="F33" s="960"/>
      <c r="G33" s="960"/>
      <c r="H33" s="960"/>
      <c r="I33" s="960"/>
      <c r="J33" s="960"/>
      <c r="K33" s="960"/>
      <c r="L33" s="960"/>
      <c r="M33" s="960"/>
      <c r="N33" s="960"/>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960"/>
      <c r="AL33" s="84"/>
    </row>
    <row r="34" spans="1:51" ht="35.25" customHeight="1">
      <c r="A34" s="84"/>
      <c r="B34" s="119" t="s">
        <v>41</v>
      </c>
      <c r="C34" s="960" t="s">
        <v>2319</v>
      </c>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0"/>
      <c r="AL34" s="84"/>
    </row>
    <row r="35" spans="1:51" ht="6.75" customHeight="1">
      <c r="A35" s="84"/>
      <c r="B35" s="120"/>
      <c r="C35" s="118"/>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1" t="s">
        <v>2095</v>
      </c>
      <c r="C36" s="102"/>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1"/>
    </row>
    <row r="37" spans="1:51" ht="18.75" customHeight="1" thickBot="1">
      <c r="A37" s="84"/>
      <c r="B37" s="921" t="b">
        <v>1</v>
      </c>
      <c r="C37" s="922"/>
      <c r="D37" s="957" t="s">
        <v>119</v>
      </c>
      <c r="E37" s="958"/>
      <c r="F37" s="958"/>
      <c r="G37" s="958"/>
      <c r="H37" s="958"/>
      <c r="I37" s="958"/>
      <c r="J37" s="958"/>
      <c r="K37" s="958"/>
      <c r="L37" s="958"/>
      <c r="M37" s="958"/>
      <c r="N37" s="958"/>
      <c r="O37" s="958"/>
      <c r="P37" s="958"/>
      <c r="Q37" s="958"/>
      <c r="R37" s="958"/>
      <c r="S37" s="958"/>
      <c r="T37" s="958"/>
      <c r="U37" s="958"/>
      <c r="V37" s="958"/>
      <c r="W37" s="958"/>
      <c r="X37" s="958"/>
      <c r="Y37" s="958"/>
      <c r="Z37" s="958"/>
      <c r="AA37" s="86" t="s">
        <v>118</v>
      </c>
      <c r="AB37" s="111" t="str">
        <f>IFERROR(IF(AM36=TRUE,"○","×"),"")</f>
        <v>×</v>
      </c>
      <c r="AC37" s="86"/>
      <c r="AD37" s="86"/>
      <c r="AE37" s="86"/>
      <c r="AF37" s="86"/>
      <c r="AG37" s="86"/>
      <c r="AH37" s="86"/>
      <c r="AI37" s="86"/>
      <c r="AJ37" s="86"/>
      <c r="AK37" s="86"/>
      <c r="AL37" s="84"/>
      <c r="AM37" s="887" t="s">
        <v>2091</v>
      </c>
      <c r="AN37" s="888"/>
      <c r="AO37" s="888"/>
      <c r="AP37" s="888"/>
      <c r="AQ37" s="888"/>
      <c r="AR37" s="888"/>
      <c r="AS37" s="888"/>
      <c r="AT37" s="888"/>
      <c r="AU37" s="888"/>
      <c r="AV37" s="888"/>
      <c r="AW37" s="888"/>
      <c r="AX37" s="888"/>
      <c r="AY37" s="889"/>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2"/>
      <c r="AN38" s="122"/>
      <c r="AO38" s="122"/>
      <c r="AP38" s="122"/>
      <c r="AQ38" s="122"/>
      <c r="AR38" s="122"/>
      <c r="AS38" s="122"/>
      <c r="AT38" s="122"/>
      <c r="AU38" s="122"/>
      <c r="AV38" s="122"/>
      <c r="AW38" s="122"/>
      <c r="AX38" s="122"/>
      <c r="AY38" s="122"/>
    </row>
    <row r="39" spans="1:51" ht="11.25" customHeight="1">
      <c r="A39" s="84"/>
      <c r="B39" s="118"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2"/>
      <c r="AN39" s="122"/>
      <c r="AO39" s="122"/>
      <c r="AP39" s="122"/>
      <c r="AQ39" s="122"/>
      <c r="AR39" s="122"/>
      <c r="AS39" s="122"/>
      <c r="AT39" s="122"/>
      <c r="AU39" s="122"/>
      <c r="AV39" s="122"/>
      <c r="AW39" s="122"/>
      <c r="AX39" s="122"/>
      <c r="AY39" s="122"/>
    </row>
    <row r="40" spans="1:51" ht="45.75" customHeight="1">
      <c r="A40" s="84"/>
      <c r="B40" s="119" t="s">
        <v>41</v>
      </c>
      <c r="C40" s="906" t="s">
        <v>2113</v>
      </c>
      <c r="D40" s="906"/>
      <c r="E40" s="906"/>
      <c r="F40" s="906"/>
      <c r="G40" s="906"/>
      <c r="H40" s="906"/>
      <c r="I40" s="906"/>
      <c r="J40" s="906"/>
      <c r="K40" s="906"/>
      <c r="L40" s="906"/>
      <c r="M40" s="90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906"/>
      <c r="AL40" s="84"/>
    </row>
    <row r="41" spans="1:51" ht="24.75" customHeight="1" thickBot="1">
      <c r="A41" s="84"/>
      <c r="B41" s="119" t="s">
        <v>41</v>
      </c>
      <c r="C41" s="906" t="s">
        <v>190</v>
      </c>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906"/>
      <c r="AL41" s="84"/>
    </row>
    <row r="42" spans="1:51" ht="22.5" customHeight="1" thickBot="1">
      <c r="A42" s="84"/>
      <c r="B42" s="123" t="s">
        <v>2085</v>
      </c>
      <c r="C42" s="117"/>
      <c r="D42" s="117"/>
      <c r="E42" s="117"/>
      <c r="F42" s="117"/>
      <c r="G42" s="117"/>
      <c r="H42" s="117"/>
      <c r="I42" s="117"/>
      <c r="J42" s="117"/>
      <c r="K42" s="117"/>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1" t="str">
        <f>IFERROR(IF(AND(AND(Q43&lt;&gt;"",T43&lt;&gt;"",AA43&lt;&gt;"",AD43&lt;&gt;""),OR(AM50=TRUE,AM51=TRUE,AM52=TRUE,AM53=TRUE,AND(AM54=TRUE,AE44&lt;&gt;"")),OR(AR49=TRUE,AR50=TRUE,AND(AR51=TRUE,Y46&lt;&gt;"")),AND(F48&lt;&gt;"",P54&lt;&gt;"",S54&lt;&gt;""),OR(AR52=TRUE,AR53=TRUE),OR(AR54=TRUE,N55&lt;&gt;"")),"○","×"),"")</f>
        <v>×</v>
      </c>
      <c r="AL42" s="84"/>
      <c r="AM42" s="829" t="s">
        <v>2181</v>
      </c>
      <c r="AN42" s="888"/>
      <c r="AO42" s="888"/>
      <c r="AP42" s="888"/>
      <c r="AQ42" s="888"/>
      <c r="AR42" s="888"/>
      <c r="AS42" s="888"/>
      <c r="AT42" s="888"/>
      <c r="AU42" s="888"/>
      <c r="AV42" s="888"/>
      <c r="AW42" s="888"/>
      <c r="AX42" s="888"/>
      <c r="AY42" s="889"/>
    </row>
    <row r="43" spans="1:51" ht="21.75" customHeight="1" thickBot="1">
      <c r="A43" s="84"/>
      <c r="B43" s="907" t="s">
        <v>171</v>
      </c>
      <c r="C43" s="908"/>
      <c r="D43" s="908"/>
      <c r="E43" s="908"/>
      <c r="F43" s="908"/>
      <c r="G43" s="908"/>
      <c r="H43" s="908"/>
      <c r="I43" s="908"/>
      <c r="J43" s="908"/>
      <c r="K43" s="908"/>
      <c r="L43" s="908"/>
      <c r="M43" s="908"/>
      <c r="N43" s="909"/>
      <c r="O43" s="897" t="s">
        <v>15</v>
      </c>
      <c r="P43" s="898"/>
      <c r="Q43" s="943"/>
      <c r="R43" s="943"/>
      <c r="S43" s="124" t="s">
        <v>10</v>
      </c>
      <c r="T43" s="895"/>
      <c r="U43" s="896"/>
      <c r="V43" s="125" t="s">
        <v>11</v>
      </c>
      <c r="W43" s="893" t="s">
        <v>12</v>
      </c>
      <c r="X43" s="893"/>
      <c r="Y43" s="893" t="s">
        <v>15</v>
      </c>
      <c r="Z43" s="905"/>
      <c r="AA43" s="895"/>
      <c r="AB43" s="896"/>
      <c r="AC43" s="126" t="s">
        <v>10</v>
      </c>
      <c r="AD43" s="895"/>
      <c r="AE43" s="896"/>
      <c r="AF43" s="125" t="s">
        <v>11</v>
      </c>
      <c r="AG43" s="125" t="s">
        <v>75</v>
      </c>
      <c r="AH43" s="125" t="str">
        <f>IF(Q43&gt;=1,(AA43*12+AD43)-(Q43*12+T43)+1,"")</f>
        <v/>
      </c>
      <c r="AI43" s="893" t="s">
        <v>76</v>
      </c>
      <c r="AJ43" s="893"/>
      <c r="AK43" s="127" t="s">
        <v>34</v>
      </c>
      <c r="AL43" s="84"/>
      <c r="AM43" s="116"/>
      <c r="AX43" s="121"/>
    </row>
    <row r="44" spans="1:51" s="94" customFormat="1" ht="25.5" customHeight="1" thickBot="1">
      <c r="A44" s="93"/>
      <c r="B44" s="899" t="s">
        <v>172</v>
      </c>
      <c r="C44" s="900"/>
      <c r="D44" s="900"/>
      <c r="E44" s="900"/>
      <c r="F44" s="128" t="b">
        <v>1</v>
      </c>
      <c r="G44" s="890" t="s">
        <v>22</v>
      </c>
      <c r="H44" s="891"/>
      <c r="I44" s="918"/>
      <c r="J44" s="129" t="b">
        <v>0</v>
      </c>
      <c r="K44" s="890" t="s">
        <v>42</v>
      </c>
      <c r="L44" s="891"/>
      <c r="M44" s="891"/>
      <c r="N44" s="891"/>
      <c r="O44" s="892"/>
      <c r="P44" s="130" t="b">
        <v>0</v>
      </c>
      <c r="Q44" s="902" t="s">
        <v>43</v>
      </c>
      <c r="R44" s="903"/>
      <c r="S44" s="903"/>
      <c r="T44" s="903"/>
      <c r="U44" s="903"/>
      <c r="V44" s="904"/>
      <c r="W44" s="130"/>
      <c r="X44" s="902" t="s">
        <v>23</v>
      </c>
      <c r="Y44" s="903"/>
      <c r="Z44" s="904"/>
      <c r="AA44" s="130" t="b">
        <v>1</v>
      </c>
      <c r="AB44" s="910" t="s">
        <v>19</v>
      </c>
      <c r="AC44" s="911"/>
      <c r="AD44" s="131" t="s">
        <v>78</v>
      </c>
      <c r="AE44" s="894"/>
      <c r="AF44" s="894"/>
      <c r="AG44" s="894"/>
      <c r="AH44" s="894"/>
      <c r="AI44" s="894"/>
      <c r="AJ44" s="882" t="s">
        <v>83</v>
      </c>
      <c r="AK44" s="912"/>
      <c r="AL44" s="93"/>
      <c r="AM44" s="829" t="s">
        <v>2099</v>
      </c>
      <c r="AN44" s="888"/>
      <c r="AO44" s="888"/>
      <c r="AP44" s="888"/>
      <c r="AQ44" s="888"/>
      <c r="AR44" s="888"/>
      <c r="AS44" s="888"/>
      <c r="AT44" s="888"/>
      <c r="AU44" s="888"/>
      <c r="AV44" s="888"/>
      <c r="AW44" s="888"/>
      <c r="AX44" s="888"/>
      <c r="AY44" s="889"/>
    </row>
    <row r="45" spans="1:51" s="94" customFormat="1" ht="18.75" customHeight="1" thickBot="1">
      <c r="A45" s="93"/>
      <c r="B45" s="1046" t="s">
        <v>173</v>
      </c>
      <c r="C45" s="1047"/>
      <c r="D45" s="1047"/>
      <c r="E45" s="1047"/>
      <c r="F45" s="132" t="s">
        <v>94</v>
      </c>
      <c r="G45" s="133"/>
      <c r="H45" s="134"/>
      <c r="I45" s="134"/>
      <c r="J45" s="102"/>
      <c r="K45" s="134"/>
      <c r="L45" s="134"/>
      <c r="M45" s="134"/>
      <c r="N45" s="134"/>
      <c r="O45" s="134"/>
      <c r="P45" s="135"/>
      <c r="Q45" s="134"/>
      <c r="R45" s="134"/>
      <c r="S45" s="134"/>
      <c r="T45" s="134"/>
      <c r="U45" s="134"/>
      <c r="V45" s="134"/>
      <c r="W45" s="135"/>
      <c r="X45" s="134"/>
      <c r="Y45" s="134"/>
      <c r="Z45" s="102"/>
      <c r="AA45" s="102"/>
      <c r="AB45" s="134"/>
      <c r="AC45" s="134"/>
      <c r="AD45" s="134"/>
      <c r="AE45" s="134"/>
      <c r="AF45" s="134"/>
      <c r="AG45" s="134"/>
      <c r="AH45" s="134"/>
      <c r="AI45" s="134"/>
      <c r="AJ45" s="134"/>
      <c r="AK45" s="136"/>
      <c r="AL45" s="93"/>
    </row>
    <row r="46" spans="1:51" s="94" customFormat="1" ht="15" customHeight="1">
      <c r="A46" s="93"/>
      <c r="B46" s="1048"/>
      <c r="C46" s="1049"/>
      <c r="D46" s="1049"/>
      <c r="E46" s="1049"/>
      <c r="F46" s="137" t="b">
        <v>1</v>
      </c>
      <c r="G46" s="138" t="s">
        <v>2116</v>
      </c>
      <c r="H46" s="102"/>
      <c r="I46" s="102"/>
      <c r="J46" s="102"/>
      <c r="K46" s="102"/>
      <c r="L46" s="102"/>
      <c r="M46" s="139" t="b">
        <v>1</v>
      </c>
      <c r="N46" s="138" t="s">
        <v>2117</v>
      </c>
      <c r="O46" s="102"/>
      <c r="P46" s="102"/>
      <c r="Q46" s="135"/>
      <c r="R46" s="135"/>
      <c r="S46" s="138"/>
      <c r="T46" s="139" t="b">
        <v>1</v>
      </c>
      <c r="U46" s="138" t="s">
        <v>19</v>
      </c>
      <c r="V46" s="135"/>
      <c r="W46" s="102"/>
      <c r="X46" s="138" t="s">
        <v>20</v>
      </c>
      <c r="Y46" s="901"/>
      <c r="Z46" s="901"/>
      <c r="AA46" s="901"/>
      <c r="AB46" s="901"/>
      <c r="AC46" s="901"/>
      <c r="AD46" s="901"/>
      <c r="AE46" s="901"/>
      <c r="AF46" s="901"/>
      <c r="AG46" s="901"/>
      <c r="AH46" s="901"/>
      <c r="AI46" s="901"/>
      <c r="AJ46" s="901"/>
      <c r="AK46" s="140" t="s">
        <v>21</v>
      </c>
      <c r="AL46" s="93"/>
      <c r="AM46" s="762" t="s">
        <v>2099</v>
      </c>
      <c r="AN46" s="913"/>
      <c r="AO46" s="913"/>
      <c r="AP46" s="913"/>
      <c r="AQ46" s="913"/>
      <c r="AR46" s="913"/>
      <c r="AS46" s="913"/>
      <c r="AT46" s="913"/>
      <c r="AU46" s="913"/>
      <c r="AV46" s="913"/>
      <c r="AW46" s="913"/>
      <c r="AX46" s="913"/>
      <c r="AY46" s="914"/>
    </row>
    <row r="47" spans="1:51" s="94" customFormat="1" ht="19.5" customHeight="1" thickBot="1">
      <c r="A47" s="93"/>
      <c r="B47" s="1048"/>
      <c r="C47" s="1049"/>
      <c r="D47" s="1049"/>
      <c r="E47" s="1049"/>
      <c r="F47" s="141" t="s">
        <v>188</v>
      </c>
      <c r="G47" s="138"/>
      <c r="H47" s="102"/>
      <c r="I47" s="102"/>
      <c r="J47" s="102"/>
      <c r="K47" s="102"/>
      <c r="L47" s="102"/>
      <c r="M47" s="102"/>
      <c r="N47" s="102"/>
      <c r="O47" s="135"/>
      <c r="P47" s="135"/>
      <c r="Q47" s="138"/>
      <c r="R47" s="138"/>
      <c r="S47" s="138"/>
      <c r="T47" s="142"/>
      <c r="U47" s="142"/>
      <c r="V47" s="142"/>
      <c r="W47" s="142"/>
      <c r="X47" s="142"/>
      <c r="Z47" s="142"/>
      <c r="AA47" s="142"/>
      <c r="AB47" s="142"/>
      <c r="AC47" s="142"/>
      <c r="AD47" s="142"/>
      <c r="AE47" s="142"/>
      <c r="AF47" s="142"/>
      <c r="AG47" s="142"/>
      <c r="AH47" s="142"/>
      <c r="AI47" s="142"/>
      <c r="AJ47" s="142"/>
      <c r="AK47" s="140"/>
      <c r="AL47" s="93"/>
      <c r="AM47" s="915"/>
      <c r="AN47" s="916"/>
      <c r="AO47" s="916"/>
      <c r="AP47" s="916"/>
      <c r="AQ47" s="916"/>
      <c r="AR47" s="916"/>
      <c r="AS47" s="916"/>
      <c r="AT47" s="916"/>
      <c r="AU47" s="916"/>
      <c r="AV47" s="916"/>
      <c r="AW47" s="916"/>
      <c r="AX47" s="916"/>
      <c r="AY47" s="917"/>
    </row>
    <row r="48" spans="1:51" s="94" customFormat="1" ht="20.25" customHeight="1">
      <c r="A48" s="93"/>
      <c r="B48" s="1048"/>
      <c r="C48" s="1049"/>
      <c r="D48" s="1049"/>
      <c r="E48" s="1049"/>
      <c r="F48" s="1058"/>
      <c r="G48" s="1059"/>
      <c r="H48" s="1059"/>
      <c r="I48" s="1059"/>
      <c r="J48" s="1059"/>
      <c r="K48" s="1059"/>
      <c r="L48" s="1059"/>
      <c r="M48" s="1059"/>
      <c r="N48" s="1059"/>
      <c r="O48" s="1059"/>
      <c r="P48" s="1059"/>
      <c r="Q48" s="1059"/>
      <c r="R48" s="1059"/>
      <c r="S48" s="1059"/>
      <c r="T48" s="1059"/>
      <c r="U48" s="1059"/>
      <c r="V48" s="1059"/>
      <c r="W48" s="1059"/>
      <c r="X48" s="1059"/>
      <c r="Y48" s="1059"/>
      <c r="Z48" s="1059"/>
      <c r="AA48" s="1059"/>
      <c r="AB48" s="1059"/>
      <c r="AC48" s="1059"/>
      <c r="AD48" s="1059"/>
      <c r="AE48" s="1059"/>
      <c r="AF48" s="1059"/>
      <c r="AG48" s="1059"/>
      <c r="AH48" s="1059"/>
      <c r="AI48" s="1059"/>
      <c r="AJ48" s="1059"/>
      <c r="AK48" s="1060"/>
      <c r="AL48" s="93"/>
    </row>
    <row r="49" spans="1:55" s="94" customFormat="1" ht="18" customHeight="1">
      <c r="A49" s="93"/>
      <c r="B49" s="1048"/>
      <c r="C49" s="1049"/>
      <c r="D49" s="1049"/>
      <c r="E49" s="1049"/>
      <c r="F49" s="1061"/>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1062"/>
      <c r="AC49" s="1062"/>
      <c r="AD49" s="1062"/>
      <c r="AE49" s="1062"/>
      <c r="AF49" s="1062"/>
      <c r="AG49" s="1062"/>
      <c r="AH49" s="1062"/>
      <c r="AI49" s="1062"/>
      <c r="AJ49" s="1062"/>
      <c r="AK49" s="1063"/>
      <c r="AL49" s="93"/>
      <c r="AM49" s="143" t="s">
        <v>2129</v>
      </c>
      <c r="AR49" s="82" t="b">
        <v>0</v>
      </c>
      <c r="AS49" s="879" t="s">
        <v>2130</v>
      </c>
      <c r="AT49" s="879"/>
    </row>
    <row r="50" spans="1:55" s="94" customFormat="1" ht="18" customHeight="1">
      <c r="A50" s="93"/>
      <c r="B50" s="1048"/>
      <c r="C50" s="1049"/>
      <c r="D50" s="1049"/>
      <c r="E50" s="1049"/>
      <c r="F50" s="1061"/>
      <c r="G50" s="1062"/>
      <c r="H50" s="1062"/>
      <c r="I50" s="1062"/>
      <c r="J50" s="1062"/>
      <c r="K50" s="1062"/>
      <c r="L50" s="1062"/>
      <c r="M50" s="1062"/>
      <c r="N50" s="1062"/>
      <c r="O50" s="1062"/>
      <c r="P50" s="1062"/>
      <c r="Q50" s="1062"/>
      <c r="R50" s="1062"/>
      <c r="S50" s="1062"/>
      <c r="T50" s="1062"/>
      <c r="U50" s="1062"/>
      <c r="V50" s="1062"/>
      <c r="W50" s="1062"/>
      <c r="X50" s="1062"/>
      <c r="Y50" s="1062"/>
      <c r="Z50" s="1062"/>
      <c r="AA50" s="1062"/>
      <c r="AB50" s="1062"/>
      <c r="AC50" s="1062"/>
      <c r="AD50" s="1062"/>
      <c r="AE50" s="1062"/>
      <c r="AF50" s="1062"/>
      <c r="AG50" s="1062"/>
      <c r="AH50" s="1062"/>
      <c r="AI50" s="1062"/>
      <c r="AJ50" s="1062"/>
      <c r="AK50" s="1063"/>
      <c r="AL50" s="93"/>
      <c r="AM50" s="82" t="b">
        <v>0</v>
      </c>
      <c r="AN50" s="879" t="s">
        <v>2124</v>
      </c>
      <c r="AO50" s="879"/>
      <c r="AP50" s="879"/>
      <c r="AR50" s="82" t="b">
        <v>0</v>
      </c>
      <c r="AS50" s="879" t="s">
        <v>2131</v>
      </c>
      <c r="AT50" s="879"/>
    </row>
    <row r="51" spans="1:55" s="94" customFormat="1" ht="18" customHeight="1">
      <c r="A51" s="93"/>
      <c r="B51" s="1048"/>
      <c r="C51" s="1049"/>
      <c r="D51" s="1049"/>
      <c r="E51" s="1049"/>
      <c r="F51" s="1061"/>
      <c r="G51" s="1062"/>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3"/>
      <c r="AL51" s="93"/>
      <c r="AM51" s="82" t="b">
        <v>0</v>
      </c>
      <c r="AN51" s="879" t="s">
        <v>2125</v>
      </c>
      <c r="AO51" s="879"/>
      <c r="AP51" s="879"/>
      <c r="AR51" s="82" t="b">
        <v>0</v>
      </c>
      <c r="AS51" s="879" t="s">
        <v>2128</v>
      </c>
      <c r="AT51" s="879"/>
    </row>
    <row r="52" spans="1:55" s="94" customFormat="1" ht="18" customHeight="1">
      <c r="A52" s="93"/>
      <c r="B52" s="1048"/>
      <c r="C52" s="1049"/>
      <c r="D52" s="1049"/>
      <c r="E52" s="1049"/>
      <c r="F52" s="1064"/>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c r="AF52" s="1065"/>
      <c r="AG52" s="1065"/>
      <c r="AH52" s="1065"/>
      <c r="AI52" s="1065"/>
      <c r="AJ52" s="1065"/>
      <c r="AK52" s="1066"/>
      <c r="AL52" s="93"/>
      <c r="AM52" s="82" t="b">
        <v>0</v>
      </c>
      <c r="AN52" s="879" t="s">
        <v>2126</v>
      </c>
      <c r="AO52" s="879"/>
      <c r="AP52" s="879"/>
      <c r="AR52" s="82" t="b">
        <v>0</v>
      </c>
      <c r="AS52" s="879" t="s">
        <v>2132</v>
      </c>
      <c r="AT52" s="879"/>
    </row>
    <row r="53" spans="1:55" s="94" customFormat="1" ht="18.75" customHeight="1">
      <c r="A53" s="93"/>
      <c r="B53" s="1048"/>
      <c r="C53" s="1049"/>
      <c r="D53" s="1049"/>
      <c r="E53" s="1049"/>
      <c r="F53" s="144" t="s">
        <v>126</v>
      </c>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45"/>
      <c r="AL53" s="93"/>
      <c r="AM53" s="82" t="b">
        <v>0</v>
      </c>
      <c r="AN53" s="879" t="s">
        <v>2127</v>
      </c>
      <c r="AO53" s="879"/>
      <c r="AP53" s="879"/>
      <c r="AQ53"/>
      <c r="AR53" s="82" t="b">
        <v>0</v>
      </c>
      <c r="AS53" s="879" t="s">
        <v>2133</v>
      </c>
      <c r="AT53" s="879"/>
      <c r="AV53"/>
      <c r="BC53"/>
    </row>
    <row r="54" spans="1:55" ht="18.75" customHeight="1">
      <c r="A54" s="84"/>
      <c r="B54" s="1050"/>
      <c r="C54" s="1051"/>
      <c r="D54" s="1051"/>
      <c r="E54" s="1051"/>
      <c r="F54" s="146" t="s">
        <v>77</v>
      </c>
      <c r="G54" s="147"/>
      <c r="H54" s="147"/>
      <c r="I54" s="147"/>
      <c r="J54" s="147"/>
      <c r="K54" s="147"/>
      <c r="L54" s="147"/>
      <c r="M54" s="1052" t="s">
        <v>2206</v>
      </c>
      <c r="N54" s="1013"/>
      <c r="O54" s="1013"/>
      <c r="P54" s="1013"/>
      <c r="Q54" s="1013"/>
      <c r="R54" s="142" t="s">
        <v>4</v>
      </c>
      <c r="S54" s="1013"/>
      <c r="T54" s="1013"/>
      <c r="U54" s="142" t="s">
        <v>24</v>
      </c>
      <c r="V54" s="142" t="s">
        <v>20</v>
      </c>
      <c r="W54" s="148"/>
      <c r="X54" s="149" t="s">
        <v>25</v>
      </c>
      <c r="Y54" s="142"/>
      <c r="Z54" s="142"/>
      <c r="AA54" s="148"/>
      <c r="AB54" s="149" t="s">
        <v>26</v>
      </c>
      <c r="AC54" s="142"/>
      <c r="AD54" s="142" t="s">
        <v>21</v>
      </c>
      <c r="AE54" s="150"/>
      <c r="AF54" s="150"/>
      <c r="AG54" s="150"/>
      <c r="AH54" s="150"/>
      <c r="AI54" s="150"/>
      <c r="AJ54" s="150"/>
      <c r="AK54" s="151"/>
      <c r="AL54" s="93"/>
      <c r="AM54" s="82" t="b">
        <v>0</v>
      </c>
      <c r="AN54" s="879" t="s">
        <v>2128</v>
      </c>
      <c r="AO54" s="879"/>
      <c r="AP54" s="879"/>
      <c r="AR54" s="82" t="b">
        <v>0</v>
      </c>
      <c r="AS54" s="879" t="s">
        <v>2134</v>
      </c>
      <c r="AT54" s="879"/>
    </row>
    <row r="55" spans="1:55" ht="24.75" customHeight="1">
      <c r="A55" s="84"/>
      <c r="B55" s="1024" t="s">
        <v>176</v>
      </c>
      <c r="C55" s="1025"/>
      <c r="D55" s="1025"/>
      <c r="E55" s="1026"/>
      <c r="F55" s="919"/>
      <c r="G55" s="1014" t="s">
        <v>174</v>
      </c>
      <c r="H55" s="1015"/>
      <c r="I55" s="1031"/>
      <c r="J55" s="1014" t="s">
        <v>175</v>
      </c>
      <c r="K55" s="1015"/>
      <c r="L55" s="1015"/>
      <c r="M55" s="1016"/>
      <c r="N55" s="1020"/>
      <c r="O55" s="1020"/>
      <c r="P55" s="1020"/>
      <c r="Q55" s="1020"/>
      <c r="R55" s="1020"/>
      <c r="S55" s="1020"/>
      <c r="T55" s="1020"/>
      <c r="U55" s="1020"/>
      <c r="V55" s="1020"/>
      <c r="W55" s="1020"/>
      <c r="X55" s="1020"/>
      <c r="Y55" s="1020"/>
      <c r="Z55" s="1020"/>
      <c r="AA55" s="1020"/>
      <c r="AB55" s="1020"/>
      <c r="AC55" s="1020"/>
      <c r="AD55" s="1020"/>
      <c r="AE55" s="1020"/>
      <c r="AF55" s="1020"/>
      <c r="AG55" s="1020"/>
      <c r="AH55" s="1020"/>
      <c r="AI55" s="1020"/>
      <c r="AJ55" s="1020"/>
      <c r="AK55" s="1021"/>
      <c r="AL55" s="150"/>
      <c r="AM55" s="94"/>
    </row>
    <row r="56" spans="1:55" ht="18.75" customHeight="1" thickBot="1">
      <c r="A56" s="84"/>
      <c r="B56" s="1027"/>
      <c r="C56" s="1028"/>
      <c r="D56" s="1028"/>
      <c r="E56" s="1029"/>
      <c r="F56" s="920"/>
      <c r="G56" s="1017"/>
      <c r="H56" s="1032"/>
      <c r="I56" s="1019"/>
      <c r="J56" s="1017"/>
      <c r="K56" s="1018"/>
      <c r="L56" s="1018"/>
      <c r="M56" s="1019"/>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3"/>
      <c r="AL56" s="150"/>
      <c r="AX56" s="121"/>
    </row>
    <row r="57" spans="1:55" ht="7.5" customHeight="1">
      <c r="A57" s="84"/>
      <c r="B57" s="152"/>
      <c r="C57" s="152"/>
      <c r="D57" s="152"/>
      <c r="E57" s="152"/>
      <c r="F57" s="149"/>
      <c r="G57" s="150"/>
      <c r="H57" s="150"/>
      <c r="I57" s="150"/>
      <c r="J57" s="150"/>
      <c r="K57" s="150"/>
      <c r="L57" s="150"/>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93"/>
      <c r="AM57" s="94"/>
      <c r="AW57" s="121"/>
    </row>
    <row r="58" spans="1:55" ht="21" customHeight="1">
      <c r="A58" s="84"/>
      <c r="B58" s="1008" t="s">
        <v>2320</v>
      </c>
      <c r="C58" s="1008"/>
      <c r="D58" s="1008"/>
      <c r="E58" s="1008"/>
      <c r="F58" s="1008"/>
      <c r="G58" s="1008"/>
      <c r="H58" s="1008"/>
      <c r="I58" s="1008"/>
      <c r="J58" s="1008"/>
      <c r="K58" s="1008"/>
      <c r="L58" s="1008"/>
      <c r="M58" s="1008"/>
      <c r="N58" s="1008"/>
      <c r="O58" s="1008"/>
      <c r="P58" s="1008"/>
      <c r="Q58" s="1008"/>
      <c r="R58" s="1008"/>
      <c r="S58" s="1008"/>
      <c r="T58" s="1008"/>
      <c r="U58" s="1008"/>
      <c r="V58" s="1008"/>
      <c r="W58" s="1008"/>
      <c r="X58" s="1008"/>
      <c r="Y58" s="1008"/>
      <c r="Z58" s="1008"/>
      <c r="AA58" s="1008"/>
      <c r="AB58" s="1008"/>
      <c r="AC58" s="1008"/>
      <c r="AD58" s="1008"/>
      <c r="AE58" s="1008"/>
      <c r="AF58" s="1008"/>
      <c r="AG58" s="1008"/>
      <c r="AH58" s="1008"/>
      <c r="AI58" s="1008"/>
      <c r="AJ58" s="1008"/>
      <c r="AK58" s="1008"/>
      <c r="AL58" s="84"/>
    </row>
    <row r="59" spans="1:55" ht="33" customHeight="1" thickBot="1">
      <c r="A59" s="84"/>
      <c r="B59" s="1107" t="s">
        <v>2121</v>
      </c>
      <c r="C59" s="1107"/>
      <c r="D59" s="1107"/>
      <c r="E59" s="1107"/>
      <c r="F59" s="1107"/>
      <c r="G59" s="1107"/>
      <c r="H59" s="1107"/>
      <c r="I59" s="1107"/>
      <c r="J59" s="1107"/>
      <c r="K59" s="1107"/>
      <c r="L59" s="1107"/>
      <c r="M59" s="1107"/>
      <c r="N59" s="1107"/>
      <c r="O59" s="1107"/>
      <c r="P59" s="1107"/>
      <c r="Q59" s="1107"/>
      <c r="R59" s="1107"/>
      <c r="S59" s="1107"/>
      <c r="T59" s="1107"/>
      <c r="U59" s="1107"/>
      <c r="V59" s="1107"/>
      <c r="W59" s="1107"/>
      <c r="X59" s="1107"/>
      <c r="Y59" s="1107"/>
      <c r="Z59" s="1107"/>
      <c r="AA59" s="1107"/>
      <c r="AB59" s="1107"/>
      <c r="AC59" s="1107"/>
      <c r="AD59" s="1107"/>
      <c r="AE59" s="1107"/>
      <c r="AF59" s="1107"/>
      <c r="AG59" s="1107"/>
      <c r="AH59" s="1107"/>
      <c r="AI59" s="1107"/>
      <c r="AJ59" s="1107"/>
      <c r="AK59" s="1107"/>
      <c r="AL59" s="84"/>
      <c r="AS59" s="121"/>
    </row>
    <row r="60" spans="1:55" ht="18.75" customHeight="1">
      <c r="A60" s="84"/>
      <c r="B60" s="153" t="s">
        <v>8</v>
      </c>
      <c r="C60" s="923" t="s">
        <v>2024</v>
      </c>
      <c r="D60" s="924"/>
      <c r="E60" s="924"/>
      <c r="F60" s="924"/>
      <c r="G60" s="924"/>
      <c r="H60" s="924"/>
      <c r="I60" s="924"/>
      <c r="J60" s="924"/>
      <c r="K60" s="924"/>
      <c r="L60" s="924"/>
      <c r="M60" s="924"/>
      <c r="N60" s="924"/>
      <c r="O60" s="924"/>
      <c r="P60" s="924"/>
      <c r="Q60" s="924"/>
      <c r="R60" s="924"/>
      <c r="S60" s="925"/>
      <c r="T60" s="1143">
        <f>SUM('別紙様式2-3（６月以降分）'!L6,'別紙様式2-4（年度内の区分変更がある場合に記入）'!L6)</f>
        <v>0</v>
      </c>
      <c r="U60" s="1144"/>
      <c r="V60" s="1144"/>
      <c r="W60" s="1144"/>
      <c r="X60" s="1144"/>
      <c r="Y60" s="1145"/>
      <c r="Z60" s="113" t="s">
        <v>1</v>
      </c>
      <c r="AA60" s="102" t="s">
        <v>118</v>
      </c>
      <c r="AB60" s="973" t="str">
        <f>IFERROR(IF(T61&gt;=T60,"○","×"),"")</f>
        <v>○</v>
      </c>
      <c r="AC60" s="154"/>
      <c r="AD60" s="155"/>
      <c r="AE60" s="155"/>
      <c r="AF60" s="155"/>
      <c r="AG60" s="155"/>
      <c r="AH60" s="155"/>
      <c r="AI60" s="155"/>
      <c r="AJ60" s="155"/>
      <c r="AK60" s="155"/>
      <c r="AL60" s="84"/>
      <c r="AM60" s="762" t="s">
        <v>2122</v>
      </c>
      <c r="AN60" s="763"/>
      <c r="AO60" s="763"/>
      <c r="AP60" s="763"/>
      <c r="AQ60" s="763"/>
      <c r="AR60" s="763"/>
      <c r="AS60" s="763"/>
      <c r="AT60" s="763"/>
      <c r="AU60" s="763"/>
      <c r="AV60" s="763"/>
      <c r="AW60" s="763"/>
      <c r="AX60" s="763"/>
      <c r="AY60" s="764"/>
    </row>
    <row r="61" spans="1:55" ht="27" customHeight="1" thickBot="1">
      <c r="A61" s="84"/>
      <c r="B61" s="153" t="s">
        <v>9</v>
      </c>
      <c r="C61" s="1140" t="s">
        <v>1966</v>
      </c>
      <c r="D61" s="1141"/>
      <c r="E61" s="1141"/>
      <c r="F61" s="1141"/>
      <c r="G61" s="1141"/>
      <c r="H61" s="1141"/>
      <c r="I61" s="1141"/>
      <c r="J61" s="1141"/>
      <c r="K61" s="1141"/>
      <c r="L61" s="1141"/>
      <c r="M61" s="1141"/>
      <c r="N61" s="1141"/>
      <c r="O61" s="1141"/>
      <c r="P61" s="1141"/>
      <c r="Q61" s="1141"/>
      <c r="R61" s="1141"/>
      <c r="S61" s="1142"/>
      <c r="T61" s="1146"/>
      <c r="U61" s="1147"/>
      <c r="V61" s="1147"/>
      <c r="W61" s="1147"/>
      <c r="X61" s="1147"/>
      <c r="Y61" s="1148"/>
      <c r="Z61" s="104" t="s">
        <v>1</v>
      </c>
      <c r="AA61" s="102" t="s">
        <v>118</v>
      </c>
      <c r="AB61" s="974"/>
      <c r="AC61" s="154"/>
      <c r="AD61" s="155"/>
      <c r="AE61" s="155"/>
      <c r="AF61" s="155"/>
      <c r="AG61" s="155"/>
      <c r="AH61" s="155"/>
      <c r="AI61" s="155"/>
      <c r="AJ61" s="155"/>
      <c r="AK61" s="155"/>
      <c r="AL61" s="84"/>
      <c r="AM61" s="765"/>
      <c r="AN61" s="766"/>
      <c r="AO61" s="766"/>
      <c r="AP61" s="766"/>
      <c r="AQ61" s="766"/>
      <c r="AR61" s="766"/>
      <c r="AS61" s="766"/>
      <c r="AT61" s="766"/>
      <c r="AU61" s="766"/>
      <c r="AV61" s="766"/>
      <c r="AW61" s="766"/>
      <c r="AX61" s="766"/>
      <c r="AY61" s="767"/>
    </row>
    <row r="62" spans="1:55" ht="3.75" customHeight="1">
      <c r="A62" s="84"/>
      <c r="B62" s="118"/>
      <c r="C62" s="156"/>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57"/>
      <c r="AN62" s="157"/>
      <c r="AO62" s="157"/>
      <c r="AP62" s="157"/>
      <c r="AX62" s="121"/>
    </row>
    <row r="63" spans="1:55">
      <c r="A63" s="84"/>
      <c r="B63" s="118"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8"/>
      <c r="AM63" s="157"/>
      <c r="AN63" s="157"/>
      <c r="AO63" s="157"/>
      <c r="AP63" s="157"/>
      <c r="AX63" s="121"/>
    </row>
    <row r="64" spans="1:55" ht="33.75" customHeight="1">
      <c r="A64" s="84"/>
      <c r="B64" s="119" t="s">
        <v>41</v>
      </c>
      <c r="C64" s="906" t="s">
        <v>2187</v>
      </c>
      <c r="D64" s="906"/>
      <c r="E64" s="906"/>
      <c r="F64" s="906"/>
      <c r="G64" s="906"/>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158"/>
      <c r="AM64" s="157"/>
      <c r="AN64" s="157"/>
      <c r="AO64" s="157"/>
      <c r="AP64" s="157"/>
      <c r="AX64" s="121"/>
    </row>
    <row r="65" spans="1:74" ht="7.5" customHeight="1">
      <c r="A65" s="84"/>
      <c r="B65" s="11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8"/>
      <c r="AM65" s="157"/>
      <c r="AN65" s="157"/>
      <c r="AO65" s="157"/>
      <c r="AP65" s="157"/>
      <c r="AX65" s="121"/>
    </row>
    <row r="66" spans="1:74" ht="30.75" customHeight="1" thickBot="1">
      <c r="A66" s="84"/>
      <c r="B66" s="1030" t="s">
        <v>2165</v>
      </c>
      <c r="C66" s="1030"/>
      <c r="D66" s="1030"/>
      <c r="E66" s="1030"/>
      <c r="F66" s="1030"/>
      <c r="G66" s="1030"/>
      <c r="H66" s="1030"/>
      <c r="I66" s="1030"/>
      <c r="J66" s="1030"/>
      <c r="K66" s="1030"/>
      <c r="L66" s="1030"/>
      <c r="M66" s="1030"/>
      <c r="N66" s="1030"/>
      <c r="O66" s="1030"/>
      <c r="P66" s="1030"/>
      <c r="Q66" s="1030"/>
      <c r="R66" s="1030"/>
      <c r="S66" s="1030"/>
      <c r="T66" s="1030"/>
      <c r="U66" s="1030"/>
      <c r="V66" s="1030"/>
      <c r="W66" s="1030"/>
      <c r="X66" s="1030"/>
      <c r="Y66" s="1030"/>
      <c r="Z66" s="1030"/>
      <c r="AA66" s="1030"/>
      <c r="AB66" s="1030"/>
      <c r="AC66" s="1030"/>
      <c r="AD66" s="1030"/>
      <c r="AE66" s="1030"/>
      <c r="AF66" s="1030"/>
      <c r="AG66" s="1030"/>
      <c r="AH66" s="1030"/>
      <c r="AI66" s="1030"/>
      <c r="AJ66" s="1030"/>
      <c r="AK66" s="1030"/>
      <c r="AL66" s="84"/>
    </row>
    <row r="67" spans="1:74" ht="23.25" customHeight="1" thickBot="1">
      <c r="A67" s="84"/>
      <c r="B67" s="1009" t="s">
        <v>189</v>
      </c>
      <c r="C67" s="857"/>
      <c r="D67" s="857"/>
      <c r="E67" s="857"/>
      <c r="F67" s="857"/>
      <c r="G67" s="857"/>
      <c r="H67" s="857"/>
      <c r="I67" s="857"/>
      <c r="J67" s="857"/>
      <c r="K67" s="857"/>
      <c r="L67" s="857"/>
      <c r="M67" s="857"/>
      <c r="N67" s="857"/>
      <c r="O67" s="857"/>
      <c r="P67" s="857"/>
      <c r="Q67" s="857"/>
      <c r="R67" s="857"/>
      <c r="S67" s="858"/>
      <c r="T67" s="859">
        <f>SUM('別紙様式2-3（６月以降分）'!L7,'別紙様式2-4（年度内の区分変更がある場合に記入）'!L7)</f>
        <v>0</v>
      </c>
      <c r="U67" s="860"/>
      <c r="V67" s="860"/>
      <c r="W67" s="860"/>
      <c r="X67" s="860"/>
      <c r="Y67" s="160" t="s">
        <v>1</v>
      </c>
      <c r="Z67" s="161" t="s">
        <v>2141</v>
      </c>
      <c r="AA67" s="162"/>
      <c r="AB67" s="84"/>
      <c r="AC67" s="84"/>
      <c r="AD67" s="84"/>
      <c r="AE67" s="84"/>
      <c r="AF67" s="84"/>
      <c r="AG67" s="84" t="s">
        <v>118</v>
      </c>
      <c r="AH67" s="163" t="str">
        <f>IF(T68&lt;T67,"×","")</f>
        <v/>
      </c>
      <c r="AI67" s="84"/>
      <c r="AJ67" s="84"/>
      <c r="AK67" s="84"/>
      <c r="AL67" s="84"/>
      <c r="AM67" s="829" t="s">
        <v>2188</v>
      </c>
      <c r="AN67" s="830"/>
      <c r="AO67" s="830"/>
      <c r="AP67" s="830"/>
      <c r="AQ67" s="830"/>
      <c r="AR67" s="830"/>
      <c r="AS67" s="830"/>
      <c r="AT67" s="830"/>
      <c r="AU67" s="830"/>
      <c r="AV67" s="830"/>
      <c r="AW67" s="830"/>
      <c r="AX67" s="830"/>
      <c r="AY67" s="831"/>
    </row>
    <row r="68" spans="1:74" ht="23.25" customHeight="1" thickBot="1">
      <c r="A68" s="84"/>
      <c r="B68" s="1069" t="s">
        <v>2182</v>
      </c>
      <c r="C68" s="1070"/>
      <c r="D68" s="1070"/>
      <c r="E68" s="1070"/>
      <c r="F68" s="1070"/>
      <c r="G68" s="1070"/>
      <c r="H68" s="1070"/>
      <c r="I68" s="1070"/>
      <c r="J68" s="1070"/>
      <c r="K68" s="1070"/>
      <c r="L68" s="1070"/>
      <c r="M68" s="1070"/>
      <c r="N68" s="1070"/>
      <c r="O68" s="1070"/>
      <c r="P68" s="1070"/>
      <c r="Q68" s="1070"/>
      <c r="R68" s="1070"/>
      <c r="S68" s="1070"/>
      <c r="T68" s="1120"/>
      <c r="U68" s="1121"/>
      <c r="V68" s="1121"/>
      <c r="W68" s="1121"/>
      <c r="X68" s="1122"/>
      <c r="Y68" s="164" t="s">
        <v>1</v>
      </c>
      <c r="Z68" s="84"/>
      <c r="AA68" s="165" t="s">
        <v>20</v>
      </c>
      <c r="AB68" s="1174">
        <f>IFERROR(T69/T67*100,0)</f>
        <v>0</v>
      </c>
      <c r="AC68" s="1175"/>
      <c r="AD68" s="1176"/>
      <c r="AE68" s="166" t="s">
        <v>112</v>
      </c>
      <c r="AF68" s="166" t="s">
        <v>21</v>
      </c>
      <c r="AG68" s="84" t="s">
        <v>167</v>
      </c>
      <c r="AH68" s="111" t="str">
        <f>IF(T67=0,"",(IF(AB68&gt;=200/3,"○","×")))</f>
        <v/>
      </c>
      <c r="AI68" s="149"/>
      <c r="AJ68" s="149"/>
      <c r="AK68" s="149"/>
      <c r="AL68" s="84"/>
      <c r="AM68" s="829" t="s">
        <v>2166</v>
      </c>
      <c r="AN68" s="830"/>
      <c r="AO68" s="830"/>
      <c r="AP68" s="830"/>
      <c r="AQ68" s="830"/>
      <c r="AR68" s="830"/>
      <c r="AS68" s="830"/>
      <c r="AT68" s="830"/>
      <c r="AU68" s="830"/>
      <c r="AV68" s="830"/>
      <c r="AW68" s="830"/>
      <c r="AX68" s="830"/>
      <c r="AY68" s="831"/>
    </row>
    <row r="69" spans="1:74" ht="19.5" customHeight="1" thickBot="1">
      <c r="A69" s="84"/>
      <c r="B69" s="167"/>
      <c r="C69" s="1067" t="s">
        <v>2184</v>
      </c>
      <c r="D69" s="1067"/>
      <c r="E69" s="1067"/>
      <c r="F69" s="1067"/>
      <c r="G69" s="1067"/>
      <c r="H69" s="1067"/>
      <c r="I69" s="1067"/>
      <c r="J69" s="1067"/>
      <c r="K69" s="1067"/>
      <c r="L69" s="1067"/>
      <c r="M69" s="1067"/>
      <c r="N69" s="1067"/>
      <c r="O69" s="1067"/>
      <c r="P69" s="1067"/>
      <c r="Q69" s="1067"/>
      <c r="R69" s="1067"/>
      <c r="S69" s="1067"/>
      <c r="T69" s="849"/>
      <c r="U69" s="850"/>
      <c r="V69" s="850"/>
      <c r="W69" s="850"/>
      <c r="X69" s="851"/>
      <c r="Y69" s="168" t="s">
        <v>1</v>
      </c>
      <c r="Z69" s="169" t="s">
        <v>2141</v>
      </c>
      <c r="AA69" s="71"/>
      <c r="AB69" s="170"/>
      <c r="AC69" s="171"/>
      <c r="AD69" s="172"/>
      <c r="AE69" s="172"/>
      <c r="AF69" s="166"/>
      <c r="AG69" s="84"/>
      <c r="AH69" s="84"/>
      <c r="AI69" s="149"/>
      <c r="AJ69" s="84"/>
      <c r="AK69" s="149"/>
      <c r="AL69" s="149"/>
    </row>
    <row r="70" spans="1:74" ht="16.5" customHeight="1">
      <c r="A70" s="84"/>
      <c r="B70" s="173"/>
      <c r="C70" s="1068"/>
      <c r="D70" s="1068"/>
      <c r="E70" s="1068"/>
      <c r="F70" s="1068"/>
      <c r="G70" s="1068"/>
      <c r="H70" s="1068"/>
      <c r="I70" s="1068"/>
      <c r="J70" s="1068"/>
      <c r="K70" s="1068"/>
      <c r="L70" s="1068"/>
      <c r="M70" s="1068"/>
      <c r="N70" s="1068"/>
      <c r="O70" s="1068"/>
      <c r="P70" s="1068"/>
      <c r="Q70" s="1068"/>
      <c r="R70" s="1068"/>
      <c r="S70" s="1068"/>
      <c r="T70" s="174" t="s">
        <v>20</v>
      </c>
      <c r="U70" s="1100">
        <f>T69/10</f>
        <v>0</v>
      </c>
      <c r="V70" s="1100"/>
      <c r="W70" s="1100"/>
      <c r="X70" s="72" t="s">
        <v>1</v>
      </c>
      <c r="Y70" s="42" t="s">
        <v>21</v>
      </c>
      <c r="Z70" s="84"/>
      <c r="AA70" s="84"/>
      <c r="AB70" s="84"/>
      <c r="AC70" s="84"/>
      <c r="AD70" s="84"/>
      <c r="AE70" s="84"/>
      <c r="AF70" s="84"/>
      <c r="AG70" s="84"/>
      <c r="AH70" s="175"/>
      <c r="AI70" s="149"/>
      <c r="AJ70" s="149"/>
      <c r="AK70" s="149"/>
      <c r="AL70" s="149"/>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49"/>
      <c r="AK71" s="149"/>
      <c r="AL71" s="149"/>
    </row>
    <row r="72" spans="1:74" ht="20.25" customHeight="1">
      <c r="A72" s="84"/>
      <c r="B72" s="854" t="s">
        <v>2090</v>
      </c>
      <c r="C72" s="855"/>
      <c r="D72" s="855"/>
      <c r="E72" s="855"/>
      <c r="F72" s="855"/>
      <c r="G72" s="855"/>
      <c r="H72" s="855"/>
      <c r="I72" s="855"/>
      <c r="J72" s="855"/>
      <c r="K72" s="855"/>
      <c r="L72" s="855"/>
      <c r="M72" s="855"/>
      <c r="N72" s="855"/>
      <c r="O72" s="855"/>
      <c r="P72" s="855"/>
      <c r="Q72" s="855"/>
      <c r="R72" s="855"/>
      <c r="S72" s="855"/>
      <c r="T72" s="855"/>
      <c r="U72" s="855"/>
      <c r="V72" s="855"/>
      <c r="W72" s="855"/>
      <c r="X72" s="855"/>
      <c r="Y72" s="855"/>
      <c r="Z72" s="855"/>
      <c r="AA72" s="855"/>
      <c r="AB72" s="855"/>
      <c r="AC72" s="855"/>
      <c r="AD72" s="855"/>
      <c r="AE72" s="855"/>
      <c r="AF72" s="855"/>
      <c r="AG72" s="855"/>
      <c r="AH72" s="855"/>
      <c r="AI72" s="855"/>
      <c r="AJ72" s="855"/>
      <c r="AK72" s="855"/>
      <c r="AL72" s="84"/>
    </row>
    <row r="73" spans="1:74" s="176" customFormat="1" ht="14.25" customHeight="1">
      <c r="A73" s="118"/>
      <c r="B73" s="118"/>
      <c r="C73" s="156" t="s">
        <v>2002</v>
      </c>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row>
    <row r="74" spans="1:74" s="176" customFormat="1" ht="15" customHeight="1" thickBot="1">
      <c r="A74" s="118"/>
      <c r="B74" s="118"/>
      <c r="C74" s="89" t="s">
        <v>177</v>
      </c>
      <c r="D74" s="826" t="s">
        <v>2183</v>
      </c>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158"/>
      <c r="AM74" s="82" t="b">
        <v>1</v>
      </c>
      <c r="AN74" s="879" t="s">
        <v>2135</v>
      </c>
      <c r="AO74" s="879"/>
      <c r="AP74" s="879"/>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row>
    <row r="75" spans="1:74" s="176" customFormat="1" ht="21" customHeight="1" thickBot="1">
      <c r="A75" s="118"/>
      <c r="B75" s="118"/>
      <c r="C75" s="1010"/>
      <c r="D75" s="1011"/>
      <c r="E75" s="1012" t="s">
        <v>2158</v>
      </c>
      <c r="F75" s="1012"/>
      <c r="G75" s="1012"/>
      <c r="H75" s="1012"/>
      <c r="I75" s="1012"/>
      <c r="J75" s="1012"/>
      <c r="K75" s="1012"/>
      <c r="L75" s="1012"/>
      <c r="M75" s="1012"/>
      <c r="N75" s="1012"/>
      <c r="O75" s="1012"/>
      <c r="P75" s="1012"/>
      <c r="Q75" s="1012"/>
      <c r="R75" s="1012"/>
      <c r="S75" s="1012"/>
      <c r="T75" s="1012"/>
      <c r="U75" s="1012"/>
      <c r="V75" s="1012"/>
      <c r="W75" s="1012"/>
      <c r="X75" s="957"/>
      <c r="Y75" s="86" t="s">
        <v>118</v>
      </c>
      <c r="Z75" s="111" t="str">
        <f>IF('別紙様式2-2（４・５月分）'!AU8="継続ベア加算なし","",IF(AM74=TRUE,"○","×"))</f>
        <v/>
      </c>
      <c r="AA75" s="178"/>
      <c r="AB75" s="178"/>
      <c r="AC75" s="178"/>
      <c r="AD75" s="178"/>
      <c r="AE75" s="178"/>
      <c r="AF75" s="178"/>
      <c r="AG75" s="178"/>
      <c r="AH75" s="178"/>
      <c r="AI75" s="178"/>
      <c r="AJ75" s="178"/>
      <c r="AK75" s="178"/>
      <c r="AL75" s="178"/>
      <c r="AM75" s="829" t="s">
        <v>2092</v>
      </c>
      <c r="AN75" s="888"/>
      <c r="AO75" s="888"/>
      <c r="AP75" s="888"/>
      <c r="AQ75" s="888"/>
      <c r="AR75" s="888"/>
      <c r="AS75" s="888"/>
      <c r="AT75" s="888"/>
      <c r="AU75" s="888"/>
      <c r="AV75" s="888"/>
      <c r="AW75" s="888"/>
      <c r="AX75" s="888"/>
      <c r="AY75" s="889"/>
      <c r="AZ75" s="177"/>
      <c r="BA75" s="177"/>
      <c r="BB75" s="177"/>
      <c r="BC75" s="177"/>
      <c r="BD75" s="177"/>
      <c r="BE75" s="177"/>
      <c r="BF75" s="177"/>
      <c r="BG75" s="177"/>
      <c r="BH75" s="177"/>
      <c r="BI75" s="177"/>
      <c r="BJ75" s="177"/>
      <c r="BK75" s="177"/>
      <c r="BL75" s="177"/>
      <c r="BM75" s="177"/>
    </row>
    <row r="76" spans="1:74" s="176" customFormat="1" ht="5.25" customHeight="1">
      <c r="A76" s="118"/>
      <c r="B76" s="118"/>
      <c r="C76" s="118"/>
      <c r="D76" s="118"/>
      <c r="E76" s="118"/>
      <c r="F76" s="118"/>
      <c r="G76" s="118"/>
      <c r="H76" s="118"/>
      <c r="I76" s="118"/>
      <c r="J76" s="179"/>
      <c r="K76" s="179"/>
      <c r="L76" s="179"/>
      <c r="M76" s="179"/>
      <c r="N76" s="179"/>
      <c r="O76" s="179"/>
      <c r="P76" s="179"/>
      <c r="Q76" s="179"/>
      <c r="R76" s="179"/>
      <c r="S76" s="179"/>
      <c r="T76" s="179"/>
      <c r="U76" s="179"/>
      <c r="V76" s="179"/>
      <c r="W76" s="179"/>
      <c r="X76" s="179"/>
      <c r="Y76" s="178"/>
      <c r="Z76" s="178"/>
      <c r="AA76" s="178"/>
      <c r="AB76" s="178"/>
      <c r="AC76" s="178"/>
      <c r="AD76" s="178"/>
      <c r="AE76" s="178"/>
      <c r="AF76" s="178"/>
      <c r="AG76" s="178"/>
      <c r="AH76" s="178"/>
      <c r="AI76" s="178"/>
      <c r="AJ76" s="178"/>
      <c r="AK76" s="178"/>
      <c r="AL76" s="178"/>
      <c r="AN76" s="180"/>
      <c r="AO76" s="180"/>
      <c r="AP76" s="180"/>
      <c r="AQ76" s="180"/>
      <c r="AR76" s="180"/>
      <c r="AS76" s="180"/>
      <c r="AT76" s="180"/>
      <c r="AU76" s="180"/>
      <c r="AV76" s="180"/>
      <c r="AW76" s="180"/>
      <c r="AX76" s="180"/>
      <c r="AY76" s="180"/>
      <c r="AZ76" s="180"/>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row>
    <row r="77" spans="1:74" s="176" customFormat="1" ht="14.25">
      <c r="A77" s="118"/>
      <c r="B77" s="118"/>
      <c r="C77" s="156" t="s">
        <v>2159</v>
      </c>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N77" s="180"/>
      <c r="AO77" s="180"/>
      <c r="AP77" s="180"/>
      <c r="AQ77" s="180"/>
      <c r="AR77" s="180"/>
      <c r="AS77" s="180"/>
      <c r="AT77" s="180"/>
      <c r="AU77" s="180"/>
      <c r="AV77" s="180"/>
      <c r="AW77" s="180"/>
      <c r="AX77" s="180"/>
      <c r="AY77" s="180"/>
      <c r="AZ77" s="180"/>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row>
    <row r="78" spans="1:74" s="176" customFormat="1" ht="24.75" customHeight="1" thickBot="1">
      <c r="A78" s="118"/>
      <c r="B78" s="118"/>
      <c r="C78" s="181" t="s">
        <v>177</v>
      </c>
      <c r="D78" s="906" t="s">
        <v>2341</v>
      </c>
      <c r="E78" s="906"/>
      <c r="F78" s="906"/>
      <c r="G78" s="906"/>
      <c r="H78" s="906"/>
      <c r="I78" s="906"/>
      <c r="J78" s="906"/>
      <c r="K78" s="906"/>
      <c r="L78" s="906"/>
      <c r="M78" s="906"/>
      <c r="N78" s="906"/>
      <c r="O78" s="906"/>
      <c r="P78" s="906"/>
      <c r="Q78" s="906"/>
      <c r="R78" s="906"/>
      <c r="S78" s="906"/>
      <c r="T78" s="906"/>
      <c r="U78" s="906"/>
      <c r="V78" s="906"/>
      <c r="W78" s="906"/>
      <c r="X78" s="906"/>
      <c r="Y78" s="906"/>
      <c r="Z78" s="906"/>
      <c r="AA78" s="906"/>
      <c r="AB78" s="906"/>
      <c r="AC78" s="906"/>
      <c r="AD78" s="906"/>
      <c r="AE78" s="906"/>
      <c r="AF78" s="906"/>
      <c r="AG78" s="906"/>
      <c r="AH78" s="906"/>
      <c r="AI78" s="906"/>
      <c r="AJ78" s="906"/>
      <c r="AK78" s="906"/>
      <c r="AL78" s="158"/>
      <c r="AN78" s="180"/>
      <c r="AO78" s="180"/>
      <c r="AP78" s="180"/>
      <c r="AQ78" s="180"/>
      <c r="AR78" s="180"/>
      <c r="AS78" s="180"/>
      <c r="AT78" s="180"/>
      <c r="AU78" s="180"/>
      <c r="AV78" s="180"/>
      <c r="AW78" s="180"/>
      <c r="AX78" s="180"/>
      <c r="AY78" s="180"/>
      <c r="AZ78" s="180"/>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row>
    <row r="79" spans="1:74" ht="18" customHeight="1">
      <c r="A79" s="84"/>
      <c r="B79" s="182"/>
      <c r="C79" s="856" t="s">
        <v>2019</v>
      </c>
      <c r="D79" s="857"/>
      <c r="E79" s="857"/>
      <c r="F79" s="857"/>
      <c r="G79" s="857"/>
      <c r="H79" s="857"/>
      <c r="I79" s="857"/>
      <c r="J79" s="857"/>
      <c r="K79" s="857"/>
      <c r="L79" s="857"/>
      <c r="M79" s="857"/>
      <c r="N79" s="857"/>
      <c r="O79" s="857"/>
      <c r="P79" s="857"/>
      <c r="Q79" s="857"/>
      <c r="R79" s="857"/>
      <c r="S79" s="857"/>
      <c r="T79" s="858"/>
      <c r="U79" s="859">
        <f>'別紙様式2-2（４・５月分）'!K8</f>
        <v>0</v>
      </c>
      <c r="V79" s="860"/>
      <c r="W79" s="860"/>
      <c r="X79" s="860"/>
      <c r="Y79" s="860"/>
      <c r="Z79" s="183" t="s">
        <v>1</v>
      </c>
      <c r="AA79" s="102" t="s">
        <v>118</v>
      </c>
      <c r="AB79" s="1035" t="str">
        <f>IF('別紙様式2-2（４・５月分）'!AU7="新規ベア加算なし","",IF(U80&gt;=U79,"○","×"))</f>
        <v/>
      </c>
      <c r="AC79" s="162"/>
      <c r="AD79" s="84"/>
      <c r="AE79" s="84"/>
      <c r="AF79" s="84"/>
      <c r="AG79" s="84"/>
      <c r="AH79" s="84"/>
      <c r="AI79" s="84"/>
      <c r="AJ79" s="84"/>
      <c r="AK79" s="84"/>
      <c r="AL79" s="84"/>
      <c r="AN79" s="180"/>
      <c r="AO79" s="180"/>
      <c r="AP79" s="180"/>
      <c r="AQ79" s="180"/>
      <c r="AR79" s="180"/>
      <c r="AS79" s="180"/>
      <c r="AT79" s="180"/>
      <c r="AU79" s="180"/>
      <c r="AV79" s="180"/>
      <c r="AW79" s="180"/>
      <c r="AX79" s="180"/>
      <c r="AY79" s="180"/>
      <c r="AZ79" s="180"/>
    </row>
    <row r="80" spans="1:74" ht="19.5" customHeight="1" thickBot="1">
      <c r="A80" s="84"/>
      <c r="B80" s="182"/>
      <c r="C80" s="861" t="s">
        <v>1997</v>
      </c>
      <c r="D80" s="861"/>
      <c r="E80" s="861"/>
      <c r="F80" s="861"/>
      <c r="G80" s="861"/>
      <c r="H80" s="861"/>
      <c r="I80" s="861"/>
      <c r="J80" s="861"/>
      <c r="K80" s="861"/>
      <c r="L80" s="861"/>
      <c r="M80" s="861"/>
      <c r="N80" s="861"/>
      <c r="O80" s="861"/>
      <c r="P80" s="861"/>
      <c r="Q80" s="861"/>
      <c r="R80" s="861"/>
      <c r="S80" s="861"/>
      <c r="T80" s="862"/>
      <c r="U80" s="859">
        <f>U81+U86</f>
        <v>0</v>
      </c>
      <c r="V80" s="860"/>
      <c r="W80" s="860"/>
      <c r="X80" s="860"/>
      <c r="Y80" s="860"/>
      <c r="Z80" s="160" t="s">
        <v>1</v>
      </c>
      <c r="AA80" s="102" t="s">
        <v>167</v>
      </c>
      <c r="AB80" s="1036"/>
      <c r="AC80" s="102"/>
      <c r="AD80" s="102"/>
      <c r="AE80" s="102"/>
      <c r="AF80" s="102"/>
      <c r="AG80" s="102"/>
      <c r="AH80" s="149"/>
      <c r="AI80" s="149"/>
      <c r="AJ80" s="149"/>
      <c r="AK80" s="149"/>
      <c r="AL80" s="149"/>
      <c r="AM80" s="184"/>
    </row>
    <row r="81" spans="1:51" ht="9.75" customHeight="1" thickBot="1">
      <c r="A81" s="84"/>
      <c r="B81" s="182"/>
      <c r="C81" s="1094" t="s">
        <v>2321</v>
      </c>
      <c r="D81" s="1095"/>
      <c r="E81" s="1123" t="s">
        <v>1998</v>
      </c>
      <c r="F81" s="1124"/>
      <c r="G81" s="1124"/>
      <c r="H81" s="1124"/>
      <c r="I81" s="1124"/>
      <c r="J81" s="1124"/>
      <c r="K81" s="1124"/>
      <c r="L81" s="1124"/>
      <c r="M81" s="1124"/>
      <c r="N81" s="1124"/>
      <c r="O81" s="1124"/>
      <c r="P81" s="1124"/>
      <c r="Q81" s="1124"/>
      <c r="R81" s="1124"/>
      <c r="S81" s="1124"/>
      <c r="T81" s="1125"/>
      <c r="U81" s="1000"/>
      <c r="V81" s="1001"/>
      <c r="W81" s="1001"/>
      <c r="X81" s="1001"/>
      <c r="Y81" s="1002"/>
      <c r="Z81" s="1129" t="s">
        <v>1</v>
      </c>
      <c r="AA81" s="1073" t="s">
        <v>118</v>
      </c>
      <c r="AB81" s="84"/>
      <c r="AC81" s="166"/>
      <c r="AD81" s="185"/>
      <c r="AE81" s="185"/>
      <c r="AF81" s="166"/>
      <c r="AG81" s="84"/>
      <c r="AH81" s="149"/>
      <c r="AI81" s="84"/>
      <c r="AJ81" s="149"/>
      <c r="AK81" s="84"/>
      <c r="AL81" s="149"/>
      <c r="AM81" s="184"/>
    </row>
    <row r="82" spans="1:51" ht="9.75" customHeight="1" thickBot="1">
      <c r="A82" s="84"/>
      <c r="B82" s="182"/>
      <c r="C82" s="1096"/>
      <c r="D82" s="1095"/>
      <c r="E82" s="1126"/>
      <c r="F82" s="1127"/>
      <c r="G82" s="1127"/>
      <c r="H82" s="1127"/>
      <c r="I82" s="1127"/>
      <c r="J82" s="1127"/>
      <c r="K82" s="1127"/>
      <c r="L82" s="1127"/>
      <c r="M82" s="1127"/>
      <c r="N82" s="1127"/>
      <c r="O82" s="1127"/>
      <c r="P82" s="1127"/>
      <c r="Q82" s="1127"/>
      <c r="R82" s="1127"/>
      <c r="S82" s="1127"/>
      <c r="T82" s="1128"/>
      <c r="U82" s="820"/>
      <c r="V82" s="821"/>
      <c r="W82" s="821"/>
      <c r="X82" s="821"/>
      <c r="Y82" s="822"/>
      <c r="Z82" s="1130"/>
      <c r="AA82" s="1073"/>
      <c r="AB82" s="1007" t="s">
        <v>2123</v>
      </c>
      <c r="AC82" s="1149">
        <f>IFERROR(U83/U81*100,0)</f>
        <v>0</v>
      </c>
      <c r="AD82" s="1150"/>
      <c r="AE82" s="1151"/>
      <c r="AF82" s="1003" t="s">
        <v>112</v>
      </c>
      <c r="AG82" s="1003" t="s">
        <v>21</v>
      </c>
      <c r="AH82" s="1006" t="s">
        <v>118</v>
      </c>
      <c r="AI82" s="1035" t="str">
        <f>IF('別紙様式2-2（４・５月分）'!AU7="新規ベア加算なし","",IF(U81=0,"",IF(AND(AC82&gt;=200/3,AC82&lt;=100),"○","×")))</f>
        <v/>
      </c>
      <c r="AJ82" s="149"/>
      <c r="AK82" s="84"/>
      <c r="AL82" s="149"/>
      <c r="AM82" s="806" t="s">
        <v>2355</v>
      </c>
      <c r="AN82" s="807"/>
      <c r="AO82" s="807"/>
      <c r="AP82" s="807"/>
      <c r="AQ82" s="807"/>
      <c r="AR82" s="807"/>
      <c r="AS82" s="807"/>
      <c r="AT82" s="807"/>
      <c r="AU82" s="807"/>
      <c r="AV82" s="807"/>
      <c r="AW82" s="807"/>
      <c r="AX82" s="807"/>
      <c r="AY82" s="808"/>
    </row>
    <row r="83" spans="1:51" ht="9.75" customHeight="1" thickBot="1">
      <c r="A83" s="84"/>
      <c r="B83" s="182"/>
      <c r="C83" s="1096"/>
      <c r="D83" s="1095"/>
      <c r="E83" s="138"/>
      <c r="F83" s="823" t="s">
        <v>2185</v>
      </c>
      <c r="G83" s="824"/>
      <c r="H83" s="824"/>
      <c r="I83" s="824"/>
      <c r="J83" s="824"/>
      <c r="K83" s="824"/>
      <c r="L83" s="824"/>
      <c r="M83" s="824"/>
      <c r="N83" s="824"/>
      <c r="O83" s="824"/>
      <c r="P83" s="824"/>
      <c r="Q83" s="824"/>
      <c r="R83" s="824"/>
      <c r="S83" s="824"/>
      <c r="T83" s="824"/>
      <c r="U83" s="817"/>
      <c r="V83" s="818"/>
      <c r="W83" s="818"/>
      <c r="X83" s="818"/>
      <c r="Y83" s="819"/>
      <c r="Z83" s="1131" t="s">
        <v>1</v>
      </c>
      <c r="AA83" s="1073" t="s">
        <v>118</v>
      </c>
      <c r="AB83" s="1007"/>
      <c r="AC83" s="1152"/>
      <c r="AD83" s="1153"/>
      <c r="AE83" s="1154"/>
      <c r="AF83" s="1003"/>
      <c r="AG83" s="1003"/>
      <c r="AH83" s="1006"/>
      <c r="AI83" s="1036"/>
      <c r="AJ83" s="149"/>
      <c r="AK83" s="84"/>
      <c r="AL83" s="149"/>
      <c r="AM83" s="809"/>
      <c r="AN83" s="810"/>
      <c r="AO83" s="810"/>
      <c r="AP83" s="810"/>
      <c r="AQ83" s="810"/>
      <c r="AR83" s="810"/>
      <c r="AS83" s="810"/>
      <c r="AT83" s="810"/>
      <c r="AU83" s="810"/>
      <c r="AV83" s="810"/>
      <c r="AW83" s="810"/>
      <c r="AX83" s="810"/>
      <c r="AY83" s="811"/>
    </row>
    <row r="84" spans="1:51" ht="9.75" customHeight="1" thickBot="1">
      <c r="A84" s="84"/>
      <c r="B84" s="182"/>
      <c r="C84" s="1096"/>
      <c r="D84" s="1095"/>
      <c r="E84" s="186"/>
      <c r="F84" s="825"/>
      <c r="G84" s="826"/>
      <c r="H84" s="826"/>
      <c r="I84" s="826"/>
      <c r="J84" s="826"/>
      <c r="K84" s="826"/>
      <c r="L84" s="826"/>
      <c r="M84" s="826"/>
      <c r="N84" s="826"/>
      <c r="O84" s="826"/>
      <c r="P84" s="826"/>
      <c r="Q84" s="826"/>
      <c r="R84" s="826"/>
      <c r="S84" s="826"/>
      <c r="T84" s="826"/>
      <c r="U84" s="820"/>
      <c r="V84" s="821"/>
      <c r="W84" s="821"/>
      <c r="X84" s="821"/>
      <c r="Y84" s="822"/>
      <c r="Z84" s="1132"/>
      <c r="AA84" s="1073"/>
      <c r="AB84" s="84"/>
      <c r="AC84" s="84"/>
      <c r="AD84" s="84"/>
      <c r="AE84" s="84"/>
      <c r="AF84" s="84"/>
      <c r="AG84" s="84"/>
      <c r="AH84" s="84"/>
      <c r="AI84" s="84"/>
      <c r="AJ84" s="149"/>
      <c r="AK84" s="149"/>
      <c r="AL84" s="149"/>
    </row>
    <row r="85" spans="1:51" ht="15" customHeight="1" thickBot="1">
      <c r="A85" s="84"/>
      <c r="B85" s="182"/>
      <c r="C85" s="1097"/>
      <c r="D85" s="1098"/>
      <c r="E85" s="187"/>
      <c r="F85" s="827"/>
      <c r="G85" s="828"/>
      <c r="H85" s="828"/>
      <c r="I85" s="828"/>
      <c r="J85" s="828"/>
      <c r="K85" s="828"/>
      <c r="L85" s="828"/>
      <c r="M85" s="828"/>
      <c r="N85" s="828"/>
      <c r="O85" s="828"/>
      <c r="P85" s="828"/>
      <c r="Q85" s="828"/>
      <c r="R85" s="828"/>
      <c r="S85" s="828"/>
      <c r="T85" s="828"/>
      <c r="U85" s="188" t="s">
        <v>20</v>
      </c>
      <c r="V85" s="1099">
        <f>U83/2</f>
        <v>0</v>
      </c>
      <c r="W85" s="1099"/>
      <c r="X85" s="1099"/>
      <c r="Y85" s="73" t="s">
        <v>1</v>
      </c>
      <c r="Z85" s="42" t="s">
        <v>21</v>
      </c>
      <c r="AA85" s="74"/>
      <c r="AB85" s="170"/>
      <c r="AC85" s="170"/>
      <c r="AD85" s="171"/>
      <c r="AE85" s="812"/>
      <c r="AF85" s="812"/>
      <c r="AG85" s="166"/>
      <c r="AH85" s="84"/>
      <c r="AI85" s="175"/>
      <c r="AJ85" s="149"/>
      <c r="AK85" s="149"/>
      <c r="AL85" s="149"/>
      <c r="AM85" s="184"/>
    </row>
    <row r="86" spans="1:51" ht="9.75" customHeight="1" thickBot="1">
      <c r="A86" s="84"/>
      <c r="B86" s="182"/>
      <c r="C86" s="1135" t="s">
        <v>166</v>
      </c>
      <c r="D86" s="1136"/>
      <c r="E86" s="1123" t="s">
        <v>1999</v>
      </c>
      <c r="F86" s="1124"/>
      <c r="G86" s="1124"/>
      <c r="H86" s="1124"/>
      <c r="I86" s="1124"/>
      <c r="J86" s="1124"/>
      <c r="K86" s="1124"/>
      <c r="L86" s="1124"/>
      <c r="M86" s="1124"/>
      <c r="N86" s="1124"/>
      <c r="O86" s="1124"/>
      <c r="P86" s="1124"/>
      <c r="Q86" s="1124"/>
      <c r="R86" s="1124"/>
      <c r="S86" s="1124"/>
      <c r="T86" s="1125"/>
      <c r="U86" s="1000"/>
      <c r="V86" s="1001"/>
      <c r="W86" s="1001"/>
      <c r="X86" s="1001"/>
      <c r="Y86" s="1002"/>
      <c r="Z86" s="877" t="s">
        <v>1</v>
      </c>
      <c r="AA86" s="1073" t="s">
        <v>118</v>
      </c>
      <c r="AB86" s="170"/>
      <c r="AC86" s="84"/>
      <c r="AD86" s="166"/>
      <c r="AE86" s="185"/>
      <c r="AF86" s="185"/>
      <c r="AG86" s="166"/>
      <c r="AH86" s="84"/>
      <c r="AI86" s="84"/>
      <c r="AJ86" s="149"/>
      <c r="AK86" s="149"/>
      <c r="AL86" s="149"/>
      <c r="AM86" s="184"/>
    </row>
    <row r="87" spans="1:51" ht="9.75" customHeight="1" thickBot="1">
      <c r="A87" s="84"/>
      <c r="B87" s="182"/>
      <c r="C87" s="1094"/>
      <c r="D87" s="1095"/>
      <c r="E87" s="1126"/>
      <c r="F87" s="1127"/>
      <c r="G87" s="1127"/>
      <c r="H87" s="1127"/>
      <c r="I87" s="1127"/>
      <c r="J87" s="1127"/>
      <c r="K87" s="1127"/>
      <c r="L87" s="1127"/>
      <c r="M87" s="1127"/>
      <c r="N87" s="1127"/>
      <c r="O87" s="1127"/>
      <c r="P87" s="1127"/>
      <c r="Q87" s="1127"/>
      <c r="R87" s="1127"/>
      <c r="S87" s="1127"/>
      <c r="T87" s="1128"/>
      <c r="U87" s="820"/>
      <c r="V87" s="821"/>
      <c r="W87" s="821"/>
      <c r="X87" s="821"/>
      <c r="Y87" s="822"/>
      <c r="Z87" s="878"/>
      <c r="AA87" s="1073"/>
      <c r="AB87" s="1007" t="s">
        <v>2123</v>
      </c>
      <c r="AC87" s="1149">
        <f>IFERROR(U88/U86*100,0)</f>
        <v>0</v>
      </c>
      <c r="AD87" s="1150"/>
      <c r="AE87" s="1151"/>
      <c r="AF87" s="1003" t="s">
        <v>112</v>
      </c>
      <c r="AG87" s="1003" t="s">
        <v>21</v>
      </c>
      <c r="AH87" s="1006" t="s">
        <v>118</v>
      </c>
      <c r="AI87" s="1035" t="str">
        <f>IF('別紙様式2-2（４・５月分）'!AU7="新規ベア加算なし","",IF(U86=0,"",IF(AND(AC87&gt;=200/3,AC87&lt;=100),"○","×")))</f>
        <v/>
      </c>
      <c r="AJ87" s="149"/>
      <c r="AK87" s="149"/>
      <c r="AL87" s="149"/>
      <c r="AM87" s="806" t="s">
        <v>2189</v>
      </c>
      <c r="AN87" s="807"/>
      <c r="AO87" s="807"/>
      <c r="AP87" s="807"/>
      <c r="AQ87" s="807"/>
      <c r="AR87" s="807"/>
      <c r="AS87" s="807"/>
      <c r="AT87" s="807"/>
      <c r="AU87" s="807"/>
      <c r="AV87" s="807"/>
      <c r="AW87" s="807"/>
      <c r="AX87" s="807"/>
      <c r="AY87" s="808"/>
    </row>
    <row r="88" spans="1:51" ht="9.75" customHeight="1" thickBot="1">
      <c r="A88" s="84"/>
      <c r="B88" s="182"/>
      <c r="C88" s="1094"/>
      <c r="D88" s="1095"/>
      <c r="E88" s="189"/>
      <c r="F88" s="823" t="s">
        <v>2186</v>
      </c>
      <c r="G88" s="824"/>
      <c r="H88" s="824"/>
      <c r="I88" s="824"/>
      <c r="J88" s="824"/>
      <c r="K88" s="824"/>
      <c r="L88" s="824"/>
      <c r="M88" s="824"/>
      <c r="N88" s="824"/>
      <c r="O88" s="824"/>
      <c r="P88" s="824"/>
      <c r="Q88" s="824"/>
      <c r="R88" s="824"/>
      <c r="S88" s="824"/>
      <c r="T88" s="824"/>
      <c r="U88" s="817"/>
      <c r="V88" s="818"/>
      <c r="W88" s="818"/>
      <c r="X88" s="818"/>
      <c r="Y88" s="819"/>
      <c r="Z88" s="1033" t="s">
        <v>1</v>
      </c>
      <c r="AA88" s="1073" t="s">
        <v>118</v>
      </c>
      <c r="AB88" s="1007"/>
      <c r="AC88" s="1152"/>
      <c r="AD88" s="1153"/>
      <c r="AE88" s="1154"/>
      <c r="AF88" s="1003"/>
      <c r="AG88" s="1003"/>
      <c r="AH88" s="1006"/>
      <c r="AI88" s="1036"/>
      <c r="AJ88" s="149"/>
      <c r="AK88" s="149"/>
      <c r="AL88" s="149"/>
      <c r="AM88" s="809"/>
      <c r="AN88" s="810"/>
      <c r="AO88" s="810"/>
      <c r="AP88" s="810"/>
      <c r="AQ88" s="810"/>
      <c r="AR88" s="810"/>
      <c r="AS88" s="810"/>
      <c r="AT88" s="810"/>
      <c r="AU88" s="810"/>
      <c r="AV88" s="810"/>
      <c r="AW88" s="810"/>
      <c r="AX88" s="810"/>
      <c r="AY88" s="811"/>
    </row>
    <row r="89" spans="1:51" ht="9.75" customHeight="1" thickBot="1">
      <c r="A89" s="84"/>
      <c r="B89" s="182"/>
      <c r="C89" s="1096"/>
      <c r="D89" s="1095"/>
      <c r="E89" s="190"/>
      <c r="F89" s="825"/>
      <c r="G89" s="826"/>
      <c r="H89" s="826"/>
      <c r="I89" s="826"/>
      <c r="J89" s="826"/>
      <c r="K89" s="826"/>
      <c r="L89" s="826"/>
      <c r="M89" s="826"/>
      <c r="N89" s="826"/>
      <c r="O89" s="826"/>
      <c r="P89" s="826"/>
      <c r="Q89" s="826"/>
      <c r="R89" s="826"/>
      <c r="S89" s="826"/>
      <c r="T89" s="826"/>
      <c r="U89" s="820"/>
      <c r="V89" s="821"/>
      <c r="W89" s="821"/>
      <c r="X89" s="821"/>
      <c r="Y89" s="822"/>
      <c r="Z89" s="1034"/>
      <c r="AA89" s="1073"/>
      <c r="AB89" s="84"/>
      <c r="AC89" s="84"/>
      <c r="AD89" s="84"/>
      <c r="AE89" s="84"/>
      <c r="AF89" s="84"/>
      <c r="AG89" s="84"/>
      <c r="AH89" s="84"/>
      <c r="AI89" s="84"/>
      <c r="AJ89" s="149"/>
      <c r="AK89" s="149"/>
      <c r="AL89" s="149"/>
    </row>
    <row r="90" spans="1:51" ht="16.5" customHeight="1">
      <c r="A90" s="84"/>
      <c r="B90" s="182"/>
      <c r="C90" s="1097"/>
      <c r="D90" s="1098"/>
      <c r="E90" s="191"/>
      <c r="F90" s="827"/>
      <c r="G90" s="828"/>
      <c r="H90" s="828"/>
      <c r="I90" s="828"/>
      <c r="J90" s="828"/>
      <c r="K90" s="828"/>
      <c r="L90" s="828"/>
      <c r="M90" s="828"/>
      <c r="N90" s="828"/>
      <c r="O90" s="828"/>
      <c r="P90" s="828"/>
      <c r="Q90" s="828"/>
      <c r="R90" s="828"/>
      <c r="S90" s="828"/>
      <c r="T90" s="828"/>
      <c r="U90" s="174" t="s">
        <v>20</v>
      </c>
      <c r="V90" s="1100">
        <f>U88/2</f>
        <v>0</v>
      </c>
      <c r="W90" s="1100"/>
      <c r="X90" s="1100"/>
      <c r="Y90" s="72" t="s">
        <v>1</v>
      </c>
      <c r="Z90" s="17" t="s">
        <v>21</v>
      </c>
      <c r="AA90" s="74"/>
      <c r="AB90" s="170"/>
      <c r="AC90" s="171"/>
      <c r="AD90" s="812"/>
      <c r="AE90" s="812"/>
      <c r="AF90" s="166"/>
      <c r="AG90" s="84"/>
      <c r="AH90" s="84"/>
      <c r="AI90" s="192"/>
      <c r="AJ90" s="149"/>
      <c r="AK90" s="149"/>
      <c r="AL90" s="149"/>
      <c r="AM90" s="184"/>
    </row>
    <row r="91" spans="1:51" ht="6.75" customHeight="1">
      <c r="A91" s="84"/>
      <c r="B91" s="152" t="s">
        <v>165</v>
      </c>
      <c r="C91" s="152"/>
      <c r="D91" s="152"/>
      <c r="E91" s="152"/>
      <c r="F91" s="149"/>
      <c r="G91" s="150"/>
      <c r="H91" s="150"/>
      <c r="I91" s="150"/>
      <c r="J91" s="150"/>
      <c r="K91" s="150"/>
      <c r="L91" s="150"/>
      <c r="M91" s="193"/>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93"/>
      <c r="AM91" s="94"/>
      <c r="AR91" s="121"/>
    </row>
    <row r="92" spans="1:51" s="196" customFormat="1" ht="21" customHeight="1" thickBot="1">
      <c r="A92" s="194"/>
      <c r="B92" s="1103" t="s">
        <v>178</v>
      </c>
      <c r="C92" s="1103"/>
      <c r="D92" s="1103"/>
      <c r="E92" s="1103"/>
      <c r="F92" s="1103"/>
      <c r="G92" s="1103"/>
      <c r="H92" s="1103"/>
      <c r="I92" s="1103"/>
      <c r="J92" s="1103"/>
      <c r="K92" s="1103"/>
      <c r="L92" s="1103"/>
      <c r="M92" s="1103"/>
      <c r="N92" s="1103"/>
      <c r="O92" s="1103"/>
      <c r="P92" s="1103"/>
      <c r="Q92" s="1103"/>
      <c r="R92" s="1103"/>
      <c r="S92" s="1103"/>
      <c r="T92" s="1103"/>
      <c r="U92" s="1103"/>
      <c r="V92" s="1103"/>
      <c r="W92" s="1103"/>
      <c r="X92" s="1103"/>
      <c r="Y92" s="1103"/>
      <c r="Z92" s="1103"/>
      <c r="AA92" s="1103"/>
      <c r="AB92" s="1103"/>
      <c r="AC92" s="1103"/>
      <c r="AD92" s="1103"/>
      <c r="AE92" s="1103"/>
      <c r="AF92" s="1103"/>
      <c r="AG92" s="1103"/>
      <c r="AH92" s="1103"/>
      <c r="AI92" s="1103"/>
      <c r="AJ92" s="1103"/>
      <c r="AK92" s="1103"/>
      <c r="AL92" s="194"/>
      <c r="AM92" s="195"/>
    </row>
    <row r="93" spans="1:51" s="94" customFormat="1" ht="14.25" thickBot="1">
      <c r="A93" s="93"/>
      <c r="B93" s="156" t="s">
        <v>179</v>
      </c>
      <c r="C93" s="135"/>
      <c r="D93" s="135"/>
      <c r="E93" s="135"/>
      <c r="F93" s="135"/>
      <c r="G93" s="135"/>
      <c r="H93" s="135"/>
      <c r="I93" s="135"/>
      <c r="J93" s="135"/>
      <c r="K93" s="135"/>
      <c r="L93" s="135"/>
      <c r="M93" s="135"/>
      <c r="N93" s="135"/>
      <c r="O93" s="135"/>
      <c r="P93" s="135"/>
      <c r="Q93" s="135"/>
      <c r="R93" s="197" t="s">
        <v>177</v>
      </c>
      <c r="S93" s="198" t="s">
        <v>2004</v>
      </c>
      <c r="T93" s="93"/>
      <c r="U93" s="135"/>
      <c r="V93" s="135"/>
      <c r="W93" s="135"/>
      <c r="X93" s="135"/>
      <c r="Y93" s="135"/>
      <c r="Z93" s="135"/>
      <c r="AA93" s="135"/>
      <c r="AB93" s="135"/>
      <c r="AC93" s="135"/>
      <c r="AD93" s="135"/>
      <c r="AE93" s="135"/>
      <c r="AF93" s="135"/>
      <c r="AG93" s="135"/>
      <c r="AH93" s="135"/>
      <c r="AI93" s="934" t="str">
        <f>IF(OR('別紙様式2-2（４・５月分）'!AQ8="処遇加算Ⅰ・Ⅱあり",'別紙様式2-3（６月以降分）'!BB6="旧処遇加算Ⅰ・Ⅱ相当あり"),"該当","")</f>
        <v/>
      </c>
      <c r="AJ93" s="935"/>
      <c r="AK93" s="936"/>
      <c r="AL93" s="93"/>
      <c r="AM93"/>
    </row>
    <row r="94" spans="1:51" s="94" customFormat="1" ht="2.25" customHeight="1" thickBot="1">
      <c r="A94" s="93"/>
      <c r="B94" s="93"/>
      <c r="C94" s="93"/>
      <c r="D94" s="199"/>
      <c r="E94" s="199"/>
      <c r="F94" s="199"/>
      <c r="G94" s="199"/>
      <c r="H94" s="199"/>
      <c r="I94" s="199"/>
      <c r="J94" s="199"/>
      <c r="K94" s="199"/>
      <c r="L94" s="199"/>
      <c r="M94" s="199"/>
      <c r="N94" s="199"/>
      <c r="O94" s="199"/>
      <c r="P94" s="199"/>
      <c r="Q94" s="199"/>
      <c r="R94" s="200"/>
      <c r="S94" s="200"/>
      <c r="T94" s="200"/>
      <c r="U94" s="199"/>
      <c r="V94" s="199"/>
      <c r="W94" s="199"/>
      <c r="X94" s="199"/>
      <c r="Y94" s="199"/>
      <c r="Z94" s="199"/>
      <c r="AA94" s="199"/>
      <c r="AB94" s="199"/>
      <c r="AC94" s="199"/>
      <c r="AD94" s="199"/>
      <c r="AE94" s="199"/>
      <c r="AF94" s="199"/>
      <c r="AG94" s="199"/>
      <c r="AH94" s="199"/>
      <c r="AI94" s="199"/>
      <c r="AJ94" s="199"/>
      <c r="AK94" s="199"/>
      <c r="AL94" s="93"/>
      <c r="AM94"/>
    </row>
    <row r="95" spans="1:51" s="94" customFormat="1" ht="14.25" thickBot="1">
      <c r="A95" s="93"/>
      <c r="B95" s="156" t="s">
        <v>1982</v>
      </c>
      <c r="C95" s="201"/>
      <c r="D95" s="201"/>
      <c r="E95" s="201"/>
      <c r="F95" s="201"/>
      <c r="G95" s="201"/>
      <c r="H95" s="201"/>
      <c r="I95" s="201"/>
      <c r="J95" s="201"/>
      <c r="K95" s="201"/>
      <c r="L95" s="201"/>
      <c r="M95" s="201"/>
      <c r="N95" s="201"/>
      <c r="O95" s="201"/>
      <c r="P95" s="201"/>
      <c r="Q95" s="201"/>
      <c r="R95" s="197" t="s">
        <v>177</v>
      </c>
      <c r="S95" s="198" t="s">
        <v>2005</v>
      </c>
      <c r="T95" s="93"/>
      <c r="U95" s="201"/>
      <c r="V95" s="201"/>
      <c r="W95" s="201"/>
      <c r="X95" s="201"/>
      <c r="Y95" s="201"/>
      <c r="Z95" s="201"/>
      <c r="AA95" s="201"/>
      <c r="AB95" s="201"/>
      <c r="AC95" s="201"/>
      <c r="AD95" s="201"/>
      <c r="AE95" s="201"/>
      <c r="AF95" s="201"/>
      <c r="AG95" s="201"/>
      <c r="AH95" s="201"/>
      <c r="AI95" s="934" t="str">
        <f>IF(AND('別紙様式2-2（４・５月分）'!AQ8="処遇加算Ⅰ・Ⅱなし",'別紙様式2-3（６月以降分）'!BB6="旧処遇加算Ⅰ・Ⅱ相当なし"),"該当","")</f>
        <v>該当</v>
      </c>
      <c r="AJ95" s="935"/>
      <c r="AK95" s="936"/>
      <c r="AL95" s="93"/>
      <c r="AM95"/>
    </row>
    <row r="96" spans="1:51" s="94" customFormat="1" ht="5.25" customHeight="1">
      <c r="A96" s="93"/>
      <c r="B96" s="181"/>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93"/>
      <c r="AB96" s="202"/>
      <c r="AC96" s="202"/>
      <c r="AD96" s="202"/>
      <c r="AE96" s="202"/>
      <c r="AF96" s="202"/>
      <c r="AG96" s="202"/>
      <c r="AH96" s="202"/>
      <c r="AI96" s="202"/>
      <c r="AJ96" s="202"/>
      <c r="AK96" s="202"/>
      <c r="AL96" s="93"/>
      <c r="AM96"/>
    </row>
    <row r="97" spans="1:51" s="176" customFormat="1" ht="12.75" customHeight="1" thickBot="1">
      <c r="A97" s="118"/>
      <c r="B97" s="118"/>
      <c r="C97" s="1053" t="s">
        <v>191</v>
      </c>
      <c r="D97" s="1053"/>
      <c r="E97" s="1053"/>
      <c r="F97" s="1053"/>
      <c r="G97" s="1053"/>
      <c r="H97" s="1053"/>
      <c r="I97" s="1053"/>
      <c r="J97" s="1053"/>
      <c r="K97" s="1053"/>
      <c r="L97" s="1053"/>
      <c r="M97" s="1053"/>
      <c r="N97" s="1053"/>
      <c r="O97" s="1053"/>
      <c r="P97" s="1053"/>
      <c r="Q97" s="1053"/>
      <c r="R97" s="1053"/>
      <c r="S97" s="1053"/>
      <c r="T97" s="1053"/>
      <c r="U97" s="118"/>
      <c r="V97" s="118"/>
      <c r="W97" s="118"/>
      <c r="X97" s="118"/>
      <c r="Y97" s="118"/>
      <c r="Z97" s="118"/>
      <c r="AA97" s="118"/>
      <c r="AB97" s="118"/>
      <c r="AC97" s="118"/>
      <c r="AD97" s="159"/>
      <c r="AE97" s="159"/>
      <c r="AF97" s="159"/>
      <c r="AG97" s="159"/>
      <c r="AH97" s="159"/>
      <c r="AI97" s="159"/>
      <c r="AJ97" s="159"/>
      <c r="AK97" s="159"/>
      <c r="AL97" s="118"/>
      <c r="AM97" s="203"/>
    </row>
    <row r="98" spans="1:51" s="94" customFormat="1" ht="18" customHeight="1" thickBot="1">
      <c r="A98" s="93"/>
      <c r="B98" s="93"/>
      <c r="C98" s="801"/>
      <c r="D98" s="802"/>
      <c r="E98" s="882" t="s">
        <v>180</v>
      </c>
      <c r="F98" s="882"/>
      <c r="G98" s="882"/>
      <c r="H98" s="882"/>
      <c r="I98" s="882"/>
      <c r="J98" s="882"/>
      <c r="K98" s="882"/>
      <c r="L98" s="882"/>
      <c r="M98" s="882"/>
      <c r="N98" s="882"/>
      <c r="O98" s="882"/>
      <c r="P98" s="882"/>
      <c r="Q98" s="882"/>
      <c r="R98" s="883"/>
      <c r="S98" s="204" t="s">
        <v>167</v>
      </c>
      <c r="T98" s="163" t="str">
        <f>IFERROR(IF(AM99=TRUE,"○",IF(AND(AI95="該当",OR(AM107=TRUE,AM108=TRUE)),"","×")),"")</f>
        <v>×</v>
      </c>
      <c r="U98" s="93"/>
      <c r="V98" s="205"/>
      <c r="W98" s="205"/>
      <c r="X98" s="205"/>
      <c r="Y98" s="205"/>
      <c r="Z98" s="205"/>
      <c r="AA98" s="205"/>
      <c r="AB98" s="205"/>
      <c r="AC98" s="205"/>
      <c r="AD98" s="205"/>
      <c r="AE98" s="205"/>
      <c r="AF98" s="205"/>
      <c r="AG98" s="205"/>
      <c r="AH98" s="205"/>
      <c r="AI98" s="205"/>
      <c r="AJ98" s="205"/>
      <c r="AK98" s="205"/>
      <c r="AL98" s="118"/>
      <c r="AM98" s="143" t="s">
        <v>2129</v>
      </c>
    </row>
    <row r="99" spans="1:51" s="94" customFormat="1" ht="16.5" customHeight="1">
      <c r="A99" s="93"/>
      <c r="B99" s="206"/>
      <c r="C99" s="207" t="s">
        <v>84</v>
      </c>
      <c r="D99" s="208" t="s">
        <v>2322</v>
      </c>
      <c r="E99" s="138"/>
      <c r="F99" s="138"/>
      <c r="G99" s="138"/>
      <c r="H99" s="138"/>
      <c r="I99" s="138"/>
      <c r="J99" s="138"/>
      <c r="K99" s="138"/>
      <c r="L99" s="138"/>
      <c r="M99" s="138"/>
      <c r="N99" s="138"/>
      <c r="O99" s="138"/>
      <c r="P99" s="138"/>
      <c r="Q99" s="138"/>
      <c r="R99" s="138"/>
      <c r="S99" s="208"/>
      <c r="T99" s="208"/>
      <c r="U99" s="208"/>
      <c r="V99" s="138"/>
      <c r="W99" s="138"/>
      <c r="X99" s="138"/>
      <c r="Y99" s="138"/>
      <c r="Z99" s="209"/>
      <c r="AA99" s="209"/>
      <c r="AB99" s="209"/>
      <c r="AC99" s="209"/>
      <c r="AD99" s="102"/>
      <c r="AE99" s="102"/>
      <c r="AF99" s="102"/>
      <c r="AG99" s="102"/>
      <c r="AH99" s="135"/>
      <c r="AI99" s="135"/>
      <c r="AJ99" s="135"/>
      <c r="AK99" s="210"/>
      <c r="AL99" s="155"/>
      <c r="AM99" s="82" t="b">
        <v>0</v>
      </c>
      <c r="AN99" s="879" t="s">
        <v>2135</v>
      </c>
      <c r="AO99" s="879"/>
      <c r="AP99" s="879"/>
    </row>
    <row r="100" spans="1:51" s="94" customFormat="1" ht="16.5" customHeight="1">
      <c r="A100" s="93"/>
      <c r="B100" s="206"/>
      <c r="C100" s="211" t="s">
        <v>85</v>
      </c>
      <c r="D100" s="212" t="s">
        <v>1963</v>
      </c>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3"/>
      <c r="AA100" s="213"/>
      <c r="AB100" s="213"/>
      <c r="AC100" s="213"/>
      <c r="AD100" s="214"/>
      <c r="AE100" s="214"/>
      <c r="AF100" s="214"/>
      <c r="AG100" s="214"/>
      <c r="AH100" s="215"/>
      <c r="AI100" s="215"/>
      <c r="AJ100" s="215"/>
      <c r="AK100" s="216"/>
      <c r="AL100" s="155"/>
      <c r="AM100" s="82" t="b">
        <v>0</v>
      </c>
      <c r="AN100" s="879" t="s">
        <v>2137</v>
      </c>
      <c r="AO100" s="879"/>
      <c r="AP100" s="879"/>
    </row>
    <row r="101" spans="1:51" s="94" customFormat="1" ht="16.5" customHeight="1">
      <c r="A101" s="93"/>
      <c r="B101" s="206"/>
      <c r="C101" s="217" t="s">
        <v>86</v>
      </c>
      <c r="D101" s="218" t="s">
        <v>2323</v>
      </c>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20"/>
      <c r="AA101" s="220"/>
      <c r="AB101" s="220"/>
      <c r="AC101" s="220"/>
      <c r="AD101" s="131"/>
      <c r="AE101" s="131"/>
      <c r="AF101" s="131"/>
      <c r="AG101" s="131"/>
      <c r="AH101" s="221"/>
      <c r="AI101" s="221"/>
      <c r="AJ101" s="221"/>
      <c r="AK101" s="222"/>
      <c r="AL101" s="155"/>
      <c r="AM101" s="223"/>
    </row>
    <row r="102" spans="1:51" s="94" customFormat="1" ht="6.75" customHeight="1" thickBot="1">
      <c r="A102" s="93"/>
      <c r="B102" s="206"/>
      <c r="C102" s="142"/>
      <c r="D102" s="138"/>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209"/>
      <c r="AA102" s="209"/>
      <c r="AB102" s="209"/>
      <c r="AC102" s="209"/>
      <c r="AD102" s="102"/>
      <c r="AE102" s="102"/>
      <c r="AF102" s="102"/>
      <c r="AG102" s="102"/>
      <c r="AH102" s="135"/>
      <c r="AI102" s="135"/>
      <c r="AJ102" s="135"/>
      <c r="AK102" s="135"/>
      <c r="AL102" s="155"/>
      <c r="AM102" s="223"/>
      <c r="AN102"/>
      <c r="AO102"/>
      <c r="AP102"/>
      <c r="AQ102"/>
    </row>
    <row r="103" spans="1:51" s="94" customFormat="1" ht="26.25" customHeight="1" thickBot="1">
      <c r="A103" s="93"/>
      <c r="B103" s="206"/>
      <c r="C103" s="1119" t="s">
        <v>1973</v>
      </c>
      <c r="D103" s="1119"/>
      <c r="E103" s="1119"/>
      <c r="F103" s="1119"/>
      <c r="G103" s="1119"/>
      <c r="H103" s="1119"/>
      <c r="I103" s="1119"/>
      <c r="J103" s="1119"/>
      <c r="K103" s="1119"/>
      <c r="L103" s="152"/>
      <c r="M103" s="801"/>
      <c r="N103" s="802"/>
      <c r="O103" s="1137" t="s">
        <v>2324</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11" t="str">
        <f>IF(T98="○","",(IF(AM100=TRUE,"○","×")))</f>
        <v>×</v>
      </c>
      <c r="AL103" s="93"/>
      <c r="AM103" s="840" t="s">
        <v>2098</v>
      </c>
      <c r="AN103" s="804"/>
      <c r="AO103" s="804"/>
      <c r="AP103" s="804"/>
      <c r="AQ103" s="804"/>
      <c r="AR103" s="804"/>
      <c r="AS103" s="804"/>
      <c r="AT103" s="804"/>
      <c r="AU103" s="804"/>
      <c r="AV103" s="804"/>
      <c r="AW103" s="804"/>
      <c r="AX103" s="804"/>
      <c r="AY103" s="805"/>
    </row>
    <row r="104" spans="1:51" s="94" customFormat="1" ht="8.25" customHeight="1">
      <c r="A104" s="93"/>
      <c r="B104" s="206"/>
      <c r="C104" s="149"/>
      <c r="D104" s="138"/>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209"/>
      <c r="AA104" s="209"/>
      <c r="AB104" s="209"/>
      <c r="AC104" s="209"/>
      <c r="AD104" s="102"/>
      <c r="AE104" s="102"/>
      <c r="AF104" s="102"/>
      <c r="AG104" s="102"/>
      <c r="AH104" s="135"/>
      <c r="AI104" s="135"/>
      <c r="AJ104" s="135"/>
      <c r="AK104" s="135"/>
      <c r="AL104" s="155"/>
      <c r="AM104" s="223"/>
      <c r="AN104"/>
      <c r="AO104"/>
      <c r="AP104"/>
      <c r="AQ104"/>
    </row>
    <row r="105" spans="1:51" s="94" customFormat="1" ht="16.5" customHeight="1" thickBot="1">
      <c r="A105" s="93"/>
      <c r="B105" s="93"/>
      <c r="C105" s="1053" t="s">
        <v>181</v>
      </c>
      <c r="D105" s="1053"/>
      <c r="E105" s="1053"/>
      <c r="F105" s="1053"/>
      <c r="G105" s="1053"/>
      <c r="H105" s="1053"/>
      <c r="I105" s="1053"/>
      <c r="J105" s="1053"/>
      <c r="K105" s="1053"/>
      <c r="L105" s="1053"/>
      <c r="M105" s="1053"/>
      <c r="N105" s="1053"/>
      <c r="O105" s="1053"/>
      <c r="P105" s="1053"/>
      <c r="Q105" s="1053"/>
      <c r="R105" s="1053"/>
      <c r="S105" s="224"/>
      <c r="T105" s="224"/>
      <c r="U105" s="224"/>
      <c r="V105" s="224"/>
      <c r="W105" s="224"/>
      <c r="X105" s="224"/>
      <c r="Y105" s="152"/>
      <c r="Z105" s="224"/>
      <c r="AA105" s="224"/>
      <c r="AB105" s="224"/>
      <c r="AC105" s="224"/>
      <c r="AD105" s="224"/>
      <c r="AE105" s="224"/>
      <c r="AF105" s="224"/>
      <c r="AG105" s="224"/>
      <c r="AH105" s="224"/>
      <c r="AI105" s="224"/>
      <c r="AJ105" s="224"/>
      <c r="AK105" s="224"/>
      <c r="AL105" s="224"/>
    </row>
    <row r="106" spans="1:51" s="94" customFormat="1" ht="16.5" customHeight="1" thickBot="1">
      <c r="A106" s="93"/>
      <c r="B106" s="225"/>
      <c r="C106" s="801"/>
      <c r="D106" s="802"/>
      <c r="E106" s="882" t="s">
        <v>183</v>
      </c>
      <c r="F106" s="882"/>
      <c r="G106" s="882"/>
      <c r="H106" s="882"/>
      <c r="I106" s="882"/>
      <c r="J106" s="882"/>
      <c r="K106" s="882"/>
      <c r="L106" s="882"/>
      <c r="M106" s="882"/>
      <c r="N106" s="882"/>
      <c r="O106" s="882"/>
      <c r="P106" s="882"/>
      <c r="Q106" s="882"/>
      <c r="R106" s="883"/>
      <c r="S106" s="204" t="s">
        <v>167</v>
      </c>
      <c r="T106" s="163" t="str">
        <f>IFERROR(IF(AND(AM107=TRUE,OR(AND(AR107=TRUE,J109&lt;&gt;""),AND(AR108=TRUE,J111&lt;&gt;""))),"○",IF(AND(AI95="該当",OR(AM99=TRUE,AM100=TRUE)),"","×")),"")</f>
        <v>×</v>
      </c>
      <c r="U106" s="226"/>
      <c r="V106" s="227"/>
      <c r="W106" s="227"/>
      <c r="X106" s="227"/>
      <c r="Y106" s="227"/>
      <c r="Z106" s="227"/>
      <c r="AA106" s="227"/>
      <c r="AB106" s="227"/>
      <c r="AC106" s="227"/>
      <c r="AD106" s="227"/>
      <c r="AE106" s="227"/>
      <c r="AF106" s="227"/>
      <c r="AG106" s="227"/>
      <c r="AH106" s="227"/>
      <c r="AI106" s="227"/>
      <c r="AJ106" s="227"/>
      <c r="AK106" s="227"/>
      <c r="AL106" s="224"/>
      <c r="AM106" s="143" t="s">
        <v>2129</v>
      </c>
    </row>
    <row r="107" spans="1:51" s="94" customFormat="1" ht="26.25" customHeight="1" thickBot="1">
      <c r="A107" s="93"/>
      <c r="B107" s="1189"/>
      <c r="C107" s="207" t="s">
        <v>28</v>
      </c>
      <c r="D107" s="1193" t="s">
        <v>2325</v>
      </c>
      <c r="E107" s="1194"/>
      <c r="F107" s="1194"/>
      <c r="G107" s="1194"/>
      <c r="H107" s="1049"/>
      <c r="I107" s="1049"/>
      <c r="J107" s="1049"/>
      <c r="K107" s="1049"/>
      <c r="L107" s="1049"/>
      <c r="M107" s="1049"/>
      <c r="N107" s="1049"/>
      <c r="O107" s="1049"/>
      <c r="P107" s="1049"/>
      <c r="Q107" s="1049"/>
      <c r="R107" s="1049"/>
      <c r="S107" s="1049"/>
      <c r="T107" s="1049"/>
      <c r="U107" s="1049"/>
      <c r="V107" s="1049"/>
      <c r="W107" s="1049"/>
      <c r="X107" s="1049"/>
      <c r="Y107" s="1049"/>
      <c r="Z107" s="1049"/>
      <c r="AA107" s="1049"/>
      <c r="AB107" s="1049"/>
      <c r="AC107" s="1049"/>
      <c r="AD107" s="1049"/>
      <c r="AE107" s="1049"/>
      <c r="AF107" s="1049"/>
      <c r="AG107" s="1049"/>
      <c r="AH107" s="1049"/>
      <c r="AI107" s="1049"/>
      <c r="AJ107" s="1049"/>
      <c r="AK107" s="1195"/>
      <c r="AL107" s="93"/>
      <c r="AM107" s="82" t="b">
        <v>0</v>
      </c>
      <c r="AN107" s="879" t="s">
        <v>2135</v>
      </c>
      <c r="AO107" s="879"/>
      <c r="AP107" s="879"/>
      <c r="AQ107"/>
      <c r="AR107" s="82" t="b">
        <v>0</v>
      </c>
      <c r="AS107" s="879" t="s">
        <v>2138</v>
      </c>
      <c r="AT107" s="879"/>
      <c r="AU107" s="879"/>
    </row>
    <row r="108" spans="1:51" s="94" customFormat="1" ht="25.5" customHeight="1" thickBot="1">
      <c r="A108" s="93"/>
      <c r="B108" s="1189"/>
      <c r="C108" s="1101"/>
      <c r="D108" s="1037" t="s">
        <v>87</v>
      </c>
      <c r="E108" s="1038"/>
      <c r="F108" s="1038"/>
      <c r="G108" s="1038"/>
      <c r="H108" s="1196"/>
      <c r="I108" s="1117" t="s">
        <v>88</v>
      </c>
      <c r="J108" s="1043" t="s">
        <v>2342</v>
      </c>
      <c r="K108" s="1044"/>
      <c r="L108" s="1044"/>
      <c r="M108" s="1044"/>
      <c r="N108" s="1044"/>
      <c r="O108" s="1044"/>
      <c r="P108" s="1044"/>
      <c r="Q108" s="1044"/>
      <c r="R108" s="1044"/>
      <c r="S108" s="1044"/>
      <c r="T108" s="1044"/>
      <c r="U108" s="1044"/>
      <c r="V108" s="1044"/>
      <c r="W108" s="1044"/>
      <c r="X108" s="1044"/>
      <c r="Y108" s="1044"/>
      <c r="Z108" s="1044"/>
      <c r="AA108" s="1044"/>
      <c r="AB108" s="1044"/>
      <c r="AC108" s="1044"/>
      <c r="AD108" s="1044"/>
      <c r="AE108" s="1044"/>
      <c r="AF108" s="1044"/>
      <c r="AG108" s="1044"/>
      <c r="AH108" s="1044"/>
      <c r="AI108" s="1044"/>
      <c r="AJ108" s="1044"/>
      <c r="AK108" s="1045"/>
      <c r="AL108" s="93"/>
      <c r="AM108" s="82" t="b">
        <v>0</v>
      </c>
      <c r="AN108" s="879" t="s">
        <v>2137</v>
      </c>
      <c r="AO108" s="879"/>
      <c r="AP108" s="879"/>
      <c r="AQ108" s="228"/>
      <c r="AR108" s="82" t="b">
        <v>0</v>
      </c>
      <c r="AS108" s="879" t="s">
        <v>2139</v>
      </c>
      <c r="AT108" s="879"/>
      <c r="AU108" s="879"/>
      <c r="AV108" s="228"/>
      <c r="AW108" s="228"/>
      <c r="AX108" s="228"/>
      <c r="AY108" s="228"/>
    </row>
    <row r="109" spans="1:51" s="94" customFormat="1" ht="33" customHeight="1" thickBot="1">
      <c r="A109" s="93"/>
      <c r="B109" s="1189"/>
      <c r="C109" s="1101"/>
      <c r="D109" s="1039"/>
      <c r="E109" s="1040"/>
      <c r="F109" s="1040"/>
      <c r="G109" s="1040"/>
      <c r="H109" s="1197"/>
      <c r="I109" s="1118"/>
      <c r="J109" s="1184"/>
      <c r="K109" s="1185"/>
      <c r="L109" s="1185"/>
      <c r="M109" s="1185"/>
      <c r="N109" s="1185"/>
      <c r="O109" s="1185"/>
      <c r="P109" s="1185"/>
      <c r="Q109" s="1185"/>
      <c r="R109" s="1185"/>
      <c r="S109" s="1185"/>
      <c r="T109" s="1185"/>
      <c r="U109" s="1185"/>
      <c r="V109" s="1185"/>
      <c r="W109" s="1185"/>
      <c r="X109" s="1185"/>
      <c r="Y109" s="1185"/>
      <c r="Z109" s="1185"/>
      <c r="AA109" s="1185"/>
      <c r="AB109" s="1185"/>
      <c r="AC109" s="1185"/>
      <c r="AD109" s="1185"/>
      <c r="AE109" s="1185"/>
      <c r="AF109" s="1185"/>
      <c r="AG109" s="1185"/>
      <c r="AH109" s="1185"/>
      <c r="AI109" s="1185"/>
      <c r="AJ109" s="1185"/>
      <c r="AK109" s="1186"/>
      <c r="AL109" s="93"/>
      <c r="AM109" s="840" t="s">
        <v>2191</v>
      </c>
      <c r="AN109" s="841"/>
      <c r="AO109" s="841"/>
      <c r="AP109" s="841"/>
      <c r="AQ109" s="841"/>
      <c r="AR109" s="841"/>
      <c r="AS109" s="841"/>
      <c r="AT109" s="841"/>
      <c r="AU109" s="841"/>
      <c r="AV109" s="841"/>
      <c r="AW109" s="841"/>
      <c r="AX109" s="841"/>
      <c r="AY109" s="842"/>
    </row>
    <row r="110" spans="1:51" s="94" customFormat="1" ht="19.5" customHeight="1" thickBot="1">
      <c r="A110" s="93"/>
      <c r="B110" s="1189"/>
      <c r="C110" s="1101"/>
      <c r="D110" s="1039"/>
      <c r="E110" s="1040"/>
      <c r="F110" s="1040"/>
      <c r="G110" s="1040"/>
      <c r="H110" s="1071"/>
      <c r="I110" s="1187" t="s">
        <v>9</v>
      </c>
      <c r="J110" s="229" t="s">
        <v>31</v>
      </c>
      <c r="K110" s="230"/>
      <c r="L110" s="230"/>
      <c r="M110" s="230"/>
      <c r="N110" s="230"/>
      <c r="O110" s="230"/>
      <c r="P110" s="230"/>
      <c r="Q110" s="230"/>
      <c r="R110" s="230"/>
      <c r="S110" s="1004" t="s">
        <v>123</v>
      </c>
      <c r="T110" s="1004"/>
      <c r="U110" s="1004"/>
      <c r="V110" s="1004"/>
      <c r="W110" s="1004"/>
      <c r="X110" s="1004"/>
      <c r="Y110" s="1004"/>
      <c r="Z110" s="1004"/>
      <c r="AA110" s="1004"/>
      <c r="AB110" s="1004"/>
      <c r="AC110" s="1004"/>
      <c r="AD110" s="1004"/>
      <c r="AE110" s="1004"/>
      <c r="AF110" s="1004"/>
      <c r="AG110" s="1004"/>
      <c r="AH110" s="1004"/>
      <c r="AI110" s="1004"/>
      <c r="AJ110" s="1004"/>
      <c r="AK110" s="1005"/>
      <c r="AL110" s="93"/>
      <c r="AM110" s="228"/>
      <c r="AN110" s="228"/>
      <c r="AO110" s="228"/>
      <c r="AP110" s="228"/>
      <c r="AQ110" s="228"/>
      <c r="AR110" s="228"/>
      <c r="AS110" s="228"/>
      <c r="AT110" s="228"/>
      <c r="AU110" s="228"/>
      <c r="AV110" s="228"/>
      <c r="AW110" s="228"/>
      <c r="AX110" s="228"/>
      <c r="AY110" s="228"/>
    </row>
    <row r="111" spans="1:51" s="94" customFormat="1" ht="35.25" customHeight="1" thickBot="1">
      <c r="A111" s="93"/>
      <c r="B111" s="1189"/>
      <c r="C111" s="1102"/>
      <c r="D111" s="1041"/>
      <c r="E111" s="1042"/>
      <c r="F111" s="1042"/>
      <c r="G111" s="1042"/>
      <c r="H111" s="1072"/>
      <c r="I111" s="1188"/>
      <c r="J111" s="1190"/>
      <c r="K111" s="1191"/>
      <c r="L111" s="1191"/>
      <c r="M111" s="1191"/>
      <c r="N111" s="1191"/>
      <c r="O111" s="1191"/>
      <c r="P111" s="1191"/>
      <c r="Q111" s="1191"/>
      <c r="R111" s="1191"/>
      <c r="S111" s="1191"/>
      <c r="T111" s="1191"/>
      <c r="U111" s="1191"/>
      <c r="V111" s="1191"/>
      <c r="W111" s="1191"/>
      <c r="X111" s="1191"/>
      <c r="Y111" s="1191"/>
      <c r="Z111" s="1191"/>
      <c r="AA111" s="1191"/>
      <c r="AB111" s="1191"/>
      <c r="AC111" s="1191"/>
      <c r="AD111" s="1191"/>
      <c r="AE111" s="1191"/>
      <c r="AF111" s="1191"/>
      <c r="AG111" s="1191"/>
      <c r="AH111" s="1191"/>
      <c r="AI111" s="1191"/>
      <c r="AJ111" s="1191"/>
      <c r="AK111" s="1192"/>
      <c r="AL111" s="93"/>
      <c r="AM111" s="840" t="s">
        <v>2192</v>
      </c>
      <c r="AN111" s="841"/>
      <c r="AO111" s="841"/>
      <c r="AP111" s="841"/>
      <c r="AQ111" s="841"/>
      <c r="AR111" s="841"/>
      <c r="AS111" s="841"/>
      <c r="AT111" s="841"/>
      <c r="AU111" s="841"/>
      <c r="AV111" s="841"/>
      <c r="AW111" s="841"/>
      <c r="AX111" s="841"/>
      <c r="AY111" s="842"/>
    </row>
    <row r="112" spans="1:51" s="94" customFormat="1" ht="18" customHeight="1">
      <c r="A112" s="93"/>
      <c r="B112" s="231"/>
      <c r="C112" s="232" t="s">
        <v>91</v>
      </c>
      <c r="D112" s="218" t="s">
        <v>2326</v>
      </c>
      <c r="E112" s="233"/>
      <c r="F112" s="233"/>
      <c r="G112" s="233"/>
      <c r="H112" s="219"/>
      <c r="I112" s="219"/>
      <c r="J112" s="219"/>
      <c r="K112" s="219"/>
      <c r="L112" s="219"/>
      <c r="M112" s="219"/>
      <c r="N112" s="219"/>
      <c r="O112" s="219"/>
      <c r="P112" s="219"/>
      <c r="Q112" s="219"/>
      <c r="R112" s="219"/>
      <c r="S112" s="219"/>
      <c r="T112" s="219"/>
      <c r="U112" s="219"/>
      <c r="V112" s="219"/>
      <c r="W112" s="219"/>
      <c r="X112" s="219"/>
      <c r="Y112" s="219"/>
      <c r="Z112" s="220"/>
      <c r="AA112" s="220"/>
      <c r="AB112" s="220"/>
      <c r="AC112" s="220"/>
      <c r="AD112" s="131"/>
      <c r="AE112" s="131"/>
      <c r="AF112" s="131"/>
      <c r="AG112" s="131"/>
      <c r="AH112" s="221"/>
      <c r="AI112" s="221"/>
      <c r="AJ112" s="221"/>
      <c r="AK112" s="234"/>
      <c r="AL112" s="155"/>
      <c r="AM112" s="223"/>
    </row>
    <row r="113" spans="1:51" s="94" customFormat="1" ht="6.75" customHeight="1" thickBot="1">
      <c r="A113" s="93"/>
      <c r="B113" s="235"/>
      <c r="C113" s="235"/>
      <c r="D113" s="235"/>
      <c r="E113" s="235"/>
      <c r="F113" s="235"/>
      <c r="G113" s="235"/>
      <c r="H113" s="235"/>
      <c r="I113" s="235"/>
      <c r="J113" s="235"/>
      <c r="K113" s="235"/>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93"/>
      <c r="AM113" s="236"/>
    </row>
    <row r="114" spans="1:51" s="94" customFormat="1" ht="25.5" customHeight="1" thickBot="1">
      <c r="A114" s="93"/>
      <c r="B114" s="206"/>
      <c r="C114" s="1119" t="s">
        <v>2190</v>
      </c>
      <c r="D114" s="1119"/>
      <c r="E114" s="1119"/>
      <c r="F114" s="1119"/>
      <c r="G114" s="1119"/>
      <c r="H114" s="1119"/>
      <c r="I114" s="1119"/>
      <c r="J114" s="1119"/>
      <c r="K114" s="1119"/>
      <c r="L114" s="152"/>
      <c r="M114" s="801"/>
      <c r="N114" s="802"/>
      <c r="O114" s="1181" t="s">
        <v>1974</v>
      </c>
      <c r="P114" s="1182"/>
      <c r="Q114" s="1182"/>
      <c r="R114" s="1182"/>
      <c r="S114" s="1182"/>
      <c r="T114" s="1182"/>
      <c r="U114" s="1182"/>
      <c r="V114" s="1182"/>
      <c r="W114" s="1182"/>
      <c r="X114" s="1182"/>
      <c r="Y114" s="1182"/>
      <c r="Z114" s="1182"/>
      <c r="AA114" s="1182"/>
      <c r="AB114" s="1182"/>
      <c r="AC114" s="1182"/>
      <c r="AD114" s="1182"/>
      <c r="AE114" s="1182"/>
      <c r="AF114" s="1182"/>
      <c r="AG114" s="1182"/>
      <c r="AH114" s="1182"/>
      <c r="AI114" s="1182"/>
      <c r="AJ114" s="1183"/>
      <c r="AK114" s="111" t="str">
        <f>IF(T106="○","",(IF(AM108=TRUE,"○","×")))</f>
        <v>×</v>
      </c>
      <c r="AL114" s="93"/>
      <c r="AM114" s="840" t="s">
        <v>2097</v>
      </c>
      <c r="AN114" s="804"/>
      <c r="AO114" s="804"/>
      <c r="AP114" s="804"/>
      <c r="AQ114" s="804"/>
      <c r="AR114" s="804"/>
      <c r="AS114" s="804"/>
      <c r="AT114" s="804"/>
      <c r="AU114" s="804"/>
      <c r="AV114" s="804"/>
      <c r="AW114" s="804"/>
      <c r="AX114" s="804"/>
      <c r="AY114" s="805"/>
    </row>
    <row r="115" spans="1:51" s="94" customFormat="1" ht="12" customHeight="1">
      <c r="A115" s="93"/>
      <c r="B115" s="235"/>
      <c r="C115" s="235"/>
      <c r="D115" s="235"/>
      <c r="E115" s="235"/>
      <c r="F115" s="235"/>
      <c r="G115" s="235"/>
      <c r="H115" s="235"/>
      <c r="I115" s="235"/>
      <c r="J115" s="235"/>
      <c r="K115" s="235"/>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93"/>
      <c r="AM115" s="236"/>
    </row>
    <row r="116" spans="1:51" s="94" customFormat="1" ht="21" customHeight="1">
      <c r="A116" s="93"/>
      <c r="B116" s="1103" t="s">
        <v>185</v>
      </c>
      <c r="C116" s="1103"/>
      <c r="D116" s="1103"/>
      <c r="E116" s="1103"/>
      <c r="F116" s="1103"/>
      <c r="G116" s="1103"/>
      <c r="H116" s="1103"/>
      <c r="I116" s="1103"/>
      <c r="J116" s="1103"/>
      <c r="K116" s="1103"/>
      <c r="L116" s="1103"/>
      <c r="M116" s="1103"/>
      <c r="N116" s="1103"/>
      <c r="O116" s="1103"/>
      <c r="P116" s="1103"/>
      <c r="Q116" s="1103"/>
      <c r="R116" s="1103"/>
      <c r="S116" s="1103"/>
      <c r="T116" s="1103"/>
      <c r="U116" s="1103"/>
      <c r="V116" s="1103"/>
      <c r="W116" s="1103"/>
      <c r="X116" s="1103"/>
      <c r="Y116" s="1103"/>
      <c r="Z116" s="1103"/>
      <c r="AA116" s="1103"/>
      <c r="AB116" s="1103"/>
      <c r="AC116" s="1103"/>
      <c r="AD116" s="1103"/>
      <c r="AE116" s="1103"/>
      <c r="AF116" s="1103"/>
      <c r="AG116" s="1103"/>
      <c r="AH116" s="1103"/>
      <c r="AI116" s="1103"/>
      <c r="AJ116" s="1103"/>
      <c r="AK116" s="1103"/>
      <c r="AL116" s="93"/>
      <c r="AM116" s="237" t="str">
        <f>IF(AND('別紙様式2-2（４・５月分）'!AQ7="処遇加算Ⅰなし",'別紙様式2-3（６月以降分）'!AY6="旧処遇加算Ⅰ相当なし"),"記入不要","要記入")</f>
        <v>記入不要</v>
      </c>
    </row>
    <row r="117" spans="1:51" s="94" customFormat="1" ht="17.25" customHeight="1" thickBot="1">
      <c r="A117" s="93"/>
      <c r="B117" s="238" t="s">
        <v>182</v>
      </c>
      <c r="C117" s="239"/>
      <c r="D117" s="240"/>
      <c r="E117" s="239"/>
      <c r="F117" s="239"/>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239"/>
      <c r="AF117" s="239"/>
      <c r="AG117" s="239"/>
      <c r="AH117" s="239"/>
      <c r="AI117" s="239"/>
      <c r="AJ117" s="239"/>
      <c r="AK117" s="239"/>
      <c r="AL117" s="239"/>
      <c r="AM117" s="143" t="s">
        <v>2129</v>
      </c>
      <c r="AR117" s="82" t="b">
        <v>0</v>
      </c>
      <c r="AS117" s="879" t="s">
        <v>2138</v>
      </c>
      <c r="AT117" s="879"/>
      <c r="AU117" s="879"/>
    </row>
    <row r="118" spans="1:51" s="94" customFormat="1" ht="20.25" customHeight="1" thickBot="1">
      <c r="A118" s="93"/>
      <c r="B118" s="801"/>
      <c r="C118" s="802"/>
      <c r="D118" s="852" t="s">
        <v>183</v>
      </c>
      <c r="E118" s="852"/>
      <c r="F118" s="852"/>
      <c r="G118" s="852"/>
      <c r="H118" s="852"/>
      <c r="I118" s="852"/>
      <c r="J118" s="852"/>
      <c r="K118" s="852"/>
      <c r="L118" s="852"/>
      <c r="M118" s="852"/>
      <c r="N118" s="852"/>
      <c r="O118" s="852"/>
      <c r="P118" s="852"/>
      <c r="Q118" s="853"/>
      <c r="R118" s="241" t="s">
        <v>167</v>
      </c>
      <c r="S118" s="163" t="str">
        <f>IF(AM116="記入不要","",IF(AND(AM118=TRUE,OR(AR117=TRUE,AR118=TRUE,AR119=TRUE)),"○","×"))</f>
        <v/>
      </c>
      <c r="T118" s="242"/>
      <c r="U118" s="239"/>
      <c r="V118" s="239"/>
      <c r="W118" s="239"/>
      <c r="X118" s="239"/>
      <c r="Y118" s="239"/>
      <c r="Z118" s="239"/>
      <c r="AA118" s="239"/>
      <c r="AB118" s="239"/>
      <c r="AC118" s="239"/>
      <c r="AD118" s="239"/>
      <c r="AE118" s="239"/>
      <c r="AF118" s="239"/>
      <c r="AG118" s="239"/>
      <c r="AH118" s="239"/>
      <c r="AI118" s="239"/>
      <c r="AJ118" s="239"/>
      <c r="AK118" s="239"/>
      <c r="AL118" s="239"/>
      <c r="AM118" s="82" t="b">
        <v>0</v>
      </c>
      <c r="AN118" s="879" t="s">
        <v>2135</v>
      </c>
      <c r="AO118" s="879"/>
      <c r="AP118" s="879"/>
      <c r="AR118" s="82" t="b">
        <v>0</v>
      </c>
      <c r="AS118" s="879" t="s">
        <v>2139</v>
      </c>
      <c r="AT118" s="879"/>
      <c r="AU118" s="879"/>
    </row>
    <row r="119" spans="1:51" s="94" customFormat="1" ht="28.5" customHeight="1" thickBot="1">
      <c r="A119" s="93"/>
      <c r="B119" s="207" t="s">
        <v>84</v>
      </c>
      <c r="C119" s="1133" t="s">
        <v>2327</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1134"/>
      <c r="AL119" s="93"/>
      <c r="AM119" s="82" t="b">
        <v>0</v>
      </c>
      <c r="AN119" s="879" t="s">
        <v>2137</v>
      </c>
      <c r="AO119" s="879"/>
      <c r="AP119" s="879"/>
      <c r="AR119" s="82" t="b">
        <v>0</v>
      </c>
      <c r="AS119" s="879" t="s">
        <v>2140</v>
      </c>
      <c r="AT119" s="879"/>
      <c r="AU119" s="879"/>
    </row>
    <row r="120" spans="1:51" s="94" customFormat="1" ht="25.5" customHeight="1">
      <c r="A120" s="93"/>
      <c r="B120" s="1101"/>
      <c r="C120" s="1037" t="s">
        <v>92</v>
      </c>
      <c r="D120" s="1038"/>
      <c r="E120" s="1038"/>
      <c r="F120" s="1038"/>
      <c r="G120" s="243"/>
      <c r="H120" s="244" t="s">
        <v>39</v>
      </c>
      <c r="I120" s="1108" t="s">
        <v>29</v>
      </c>
      <c r="J120" s="1109"/>
      <c r="K120" s="1109"/>
      <c r="L120" s="1109"/>
      <c r="M120" s="1109"/>
      <c r="N120" s="1109"/>
      <c r="O120" s="1109"/>
      <c r="P120" s="1109"/>
      <c r="Q120" s="1109"/>
      <c r="R120" s="1109"/>
      <c r="S120" s="1109"/>
      <c r="T120" s="1109"/>
      <c r="U120" s="1109"/>
      <c r="V120" s="1109"/>
      <c r="W120" s="1109"/>
      <c r="X120" s="1109"/>
      <c r="Y120" s="1109"/>
      <c r="Z120" s="1109"/>
      <c r="AA120" s="1109"/>
      <c r="AB120" s="1109"/>
      <c r="AC120" s="1109"/>
      <c r="AD120" s="1109"/>
      <c r="AE120" s="1109"/>
      <c r="AF120" s="1109"/>
      <c r="AG120" s="1109"/>
      <c r="AH120" s="1109"/>
      <c r="AI120" s="1109"/>
      <c r="AJ120" s="1109"/>
      <c r="AK120" s="1110"/>
      <c r="AL120" s="93"/>
      <c r="AM120" s="762" t="s">
        <v>2193</v>
      </c>
      <c r="AN120" s="832"/>
      <c r="AO120" s="832"/>
      <c r="AP120" s="832"/>
      <c r="AQ120" s="832"/>
      <c r="AR120" s="832"/>
      <c r="AS120" s="832"/>
      <c r="AT120" s="832"/>
      <c r="AU120" s="832"/>
      <c r="AV120" s="832"/>
      <c r="AW120" s="832"/>
      <c r="AX120" s="832"/>
      <c r="AY120" s="833"/>
    </row>
    <row r="121" spans="1:51" s="94" customFormat="1" ht="33.75" customHeight="1">
      <c r="A121" s="93"/>
      <c r="B121" s="1101"/>
      <c r="C121" s="1039"/>
      <c r="D121" s="1040"/>
      <c r="E121" s="1040"/>
      <c r="F121" s="1040"/>
      <c r="G121" s="245"/>
      <c r="H121" s="246" t="s">
        <v>90</v>
      </c>
      <c r="I121" s="1111" t="s">
        <v>27</v>
      </c>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2"/>
      <c r="AK121" s="1113"/>
      <c r="AL121" s="93"/>
      <c r="AM121" s="834"/>
      <c r="AN121" s="835"/>
      <c r="AO121" s="835"/>
      <c r="AP121" s="835"/>
      <c r="AQ121" s="835"/>
      <c r="AR121" s="835"/>
      <c r="AS121" s="835"/>
      <c r="AT121" s="835"/>
      <c r="AU121" s="835"/>
      <c r="AV121" s="835"/>
      <c r="AW121" s="835"/>
      <c r="AX121" s="835"/>
      <c r="AY121" s="836"/>
    </row>
    <row r="122" spans="1:51" s="94" customFormat="1" ht="37.5" customHeight="1" thickBot="1">
      <c r="A122" s="93"/>
      <c r="B122" s="1102"/>
      <c r="C122" s="1041"/>
      <c r="D122" s="1042"/>
      <c r="E122" s="1042"/>
      <c r="F122" s="1042"/>
      <c r="G122" s="247"/>
      <c r="H122" s="248" t="s">
        <v>89</v>
      </c>
      <c r="I122" s="1114" t="s">
        <v>30</v>
      </c>
      <c r="J122" s="1115"/>
      <c r="K122" s="1115"/>
      <c r="L122" s="1115"/>
      <c r="M122" s="1115"/>
      <c r="N122" s="1115"/>
      <c r="O122" s="1115"/>
      <c r="P122" s="1115"/>
      <c r="Q122" s="1115"/>
      <c r="R122" s="1115"/>
      <c r="S122" s="1115"/>
      <c r="T122" s="1115"/>
      <c r="U122" s="1115"/>
      <c r="V122" s="1115"/>
      <c r="W122" s="1115"/>
      <c r="X122" s="1115"/>
      <c r="Y122" s="1115"/>
      <c r="Z122" s="1115"/>
      <c r="AA122" s="1115"/>
      <c r="AB122" s="1115"/>
      <c r="AC122" s="1115"/>
      <c r="AD122" s="1115"/>
      <c r="AE122" s="1115"/>
      <c r="AF122" s="1115"/>
      <c r="AG122" s="1115"/>
      <c r="AH122" s="1115"/>
      <c r="AI122" s="1115"/>
      <c r="AJ122" s="1115"/>
      <c r="AK122" s="1116"/>
      <c r="AL122" s="93"/>
      <c r="AM122" s="837"/>
      <c r="AN122" s="838"/>
      <c r="AO122" s="838"/>
      <c r="AP122" s="838"/>
      <c r="AQ122" s="838"/>
      <c r="AR122" s="838"/>
      <c r="AS122" s="838"/>
      <c r="AT122" s="838"/>
      <c r="AU122" s="838"/>
      <c r="AV122" s="838"/>
      <c r="AW122" s="838"/>
      <c r="AX122" s="838"/>
      <c r="AY122" s="839"/>
    </row>
    <row r="123" spans="1:51" s="94" customFormat="1" ht="13.5" customHeight="1">
      <c r="A123" s="93"/>
      <c r="B123" s="249" t="s">
        <v>91</v>
      </c>
      <c r="C123" s="1198" t="s">
        <v>2326</v>
      </c>
      <c r="D123" s="1199"/>
      <c r="E123" s="1199"/>
      <c r="F123" s="1199"/>
      <c r="G123" s="1199"/>
      <c r="H123" s="1199"/>
      <c r="I123" s="1199"/>
      <c r="J123" s="1199"/>
      <c r="K123" s="1199"/>
      <c r="L123" s="1199"/>
      <c r="M123" s="1199"/>
      <c r="N123" s="1199"/>
      <c r="O123" s="1199"/>
      <c r="P123" s="1199"/>
      <c r="Q123" s="1199"/>
      <c r="R123" s="1199"/>
      <c r="S123" s="1199"/>
      <c r="T123" s="1199"/>
      <c r="U123" s="1199"/>
      <c r="V123" s="1199"/>
      <c r="W123" s="1199"/>
      <c r="X123" s="1199"/>
      <c r="Y123" s="1199"/>
      <c r="Z123" s="1199"/>
      <c r="AA123" s="1199"/>
      <c r="AB123" s="1199"/>
      <c r="AC123" s="1199"/>
      <c r="AD123" s="1199"/>
      <c r="AE123" s="1199"/>
      <c r="AF123" s="1199"/>
      <c r="AG123" s="1199"/>
      <c r="AH123" s="1199"/>
      <c r="AI123" s="1199"/>
      <c r="AJ123" s="1199"/>
      <c r="AK123" s="892"/>
      <c r="AL123" s="155"/>
    </row>
    <row r="124" spans="1:51" s="94" customFormat="1" ht="8.25" customHeight="1" thickBot="1">
      <c r="A124" s="93"/>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93"/>
      <c r="AM124" s="251"/>
    </row>
    <row r="125" spans="1:51" s="94" customFormat="1" ht="27.75" customHeight="1" thickBot="1">
      <c r="A125" s="93"/>
      <c r="B125" s="1180" t="s">
        <v>2194</v>
      </c>
      <c r="C125" s="1180"/>
      <c r="D125" s="1180"/>
      <c r="E125" s="1180"/>
      <c r="F125" s="1180"/>
      <c r="G125" s="1180"/>
      <c r="H125" s="1180"/>
      <c r="I125" s="1180"/>
      <c r="J125" s="1180"/>
      <c r="K125" s="1180"/>
      <c r="L125" s="152"/>
      <c r="M125" s="801"/>
      <c r="N125" s="802"/>
      <c r="O125" s="846" t="s">
        <v>1964</v>
      </c>
      <c r="P125" s="847"/>
      <c r="Q125" s="847"/>
      <c r="R125" s="847"/>
      <c r="S125" s="847"/>
      <c r="T125" s="847"/>
      <c r="U125" s="847"/>
      <c r="V125" s="847"/>
      <c r="W125" s="847"/>
      <c r="X125" s="847"/>
      <c r="Y125" s="847"/>
      <c r="Z125" s="847"/>
      <c r="AA125" s="847"/>
      <c r="AB125" s="847"/>
      <c r="AC125" s="847"/>
      <c r="AD125" s="847"/>
      <c r="AE125" s="847"/>
      <c r="AF125" s="847"/>
      <c r="AG125" s="847"/>
      <c r="AH125" s="847"/>
      <c r="AI125" s="847"/>
      <c r="AJ125" s="847"/>
      <c r="AK125" s="111" t="str">
        <f>IF(S118="","",IF(S118="○","",IF(AM119=TRUE,"○","×")))</f>
        <v/>
      </c>
      <c r="AL125" s="93"/>
      <c r="AM125" s="829" t="s">
        <v>2096</v>
      </c>
      <c r="AN125" s="888"/>
      <c r="AO125" s="888"/>
      <c r="AP125" s="888"/>
      <c r="AQ125" s="888"/>
      <c r="AR125" s="888"/>
      <c r="AS125" s="888"/>
      <c r="AT125" s="888"/>
      <c r="AU125" s="888"/>
      <c r="AV125" s="888"/>
      <c r="AW125" s="888"/>
      <c r="AX125" s="888"/>
      <c r="AY125" s="889"/>
    </row>
    <row r="126" spans="1:51" s="94" customFormat="1" ht="8.25" customHeight="1">
      <c r="A126" s="93"/>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93"/>
      <c r="AM126" s="251"/>
    </row>
    <row r="127" spans="1:51" s="94" customFormat="1" ht="21.75" customHeight="1">
      <c r="A127" s="93"/>
      <c r="B127" s="855" t="s">
        <v>184</v>
      </c>
      <c r="C127" s="855"/>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5"/>
      <c r="AA127" s="855"/>
      <c r="AB127" s="855"/>
      <c r="AC127" s="855"/>
      <c r="AD127" s="855"/>
      <c r="AE127" s="855"/>
      <c r="AF127" s="855"/>
      <c r="AG127" s="855"/>
      <c r="AH127" s="855"/>
      <c r="AI127" s="855"/>
      <c r="AJ127" s="855"/>
      <c r="AK127" s="855"/>
      <c r="AL127" s="93"/>
      <c r="AM127" s="251"/>
    </row>
    <row r="128" spans="1:51" ht="15.75" customHeight="1" thickBot="1">
      <c r="A128" s="84"/>
      <c r="B128" s="206" t="s">
        <v>1976</v>
      </c>
      <c r="C128" s="84"/>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84"/>
      <c r="AL128" s="84"/>
      <c r="AX128" s="121"/>
    </row>
    <row r="129" spans="1:52" ht="15.75" customHeight="1" thickBot="1">
      <c r="A129" s="84"/>
      <c r="B129" s="881" t="s">
        <v>1975</v>
      </c>
      <c r="C129" s="882"/>
      <c r="D129" s="882"/>
      <c r="E129" s="882"/>
      <c r="F129" s="882"/>
      <c r="G129" s="882"/>
      <c r="H129" s="882"/>
      <c r="I129" s="882"/>
      <c r="J129" s="882"/>
      <c r="K129" s="882"/>
      <c r="L129" s="882"/>
      <c r="M129" s="882"/>
      <c r="N129" s="882"/>
      <c r="O129" s="882"/>
      <c r="P129" s="882"/>
      <c r="Q129" s="883"/>
      <c r="R129" s="252" t="s">
        <v>177</v>
      </c>
      <c r="S129" s="253" t="str">
        <f>'別紙様式2-2（４・５月分）'!AK11</f>
        <v/>
      </c>
      <c r="T129" s="1200" t="s">
        <v>2199</v>
      </c>
      <c r="U129" s="856"/>
      <c r="V129" s="856"/>
      <c r="W129" s="856"/>
      <c r="X129" s="856"/>
      <c r="Y129" s="856"/>
      <c r="Z129" s="856"/>
      <c r="AA129" s="856"/>
      <c r="AB129" s="856"/>
      <c r="AC129" s="856"/>
      <c r="AD129" s="856"/>
      <c r="AE129" s="856"/>
      <c r="AF129" s="856"/>
      <c r="AG129" s="856"/>
      <c r="AH129" s="856"/>
      <c r="AI129" s="856"/>
      <c r="AJ129" s="856"/>
      <c r="AK129" s="1201"/>
      <c r="AL129" s="84"/>
      <c r="AM129" s="254" t="str">
        <f>IF(OR(S129="×",S130="×",S131="×"),"×","")</f>
        <v/>
      </c>
      <c r="AX129" s="121"/>
    </row>
    <row r="130" spans="1:52" ht="15.75" customHeight="1" thickBot="1">
      <c r="A130" s="84"/>
      <c r="B130" s="884" t="s">
        <v>2197</v>
      </c>
      <c r="C130" s="885"/>
      <c r="D130" s="885"/>
      <c r="E130" s="885"/>
      <c r="F130" s="885"/>
      <c r="G130" s="885"/>
      <c r="H130" s="885"/>
      <c r="I130" s="885"/>
      <c r="J130" s="885"/>
      <c r="K130" s="885"/>
      <c r="L130" s="885"/>
      <c r="M130" s="885"/>
      <c r="N130" s="885"/>
      <c r="O130" s="885"/>
      <c r="P130" s="885"/>
      <c r="Q130" s="886"/>
      <c r="R130" s="252" t="s">
        <v>177</v>
      </c>
      <c r="S130" s="253" t="str">
        <f>'別紙様式2-3（６月以降分）'!AQ11</f>
        <v/>
      </c>
      <c r="T130" s="1200" t="s">
        <v>2200</v>
      </c>
      <c r="U130" s="856"/>
      <c r="V130" s="856"/>
      <c r="W130" s="856"/>
      <c r="X130" s="856"/>
      <c r="Y130" s="856"/>
      <c r="Z130" s="856"/>
      <c r="AA130" s="856"/>
      <c r="AB130" s="856"/>
      <c r="AC130" s="856"/>
      <c r="AD130" s="856"/>
      <c r="AE130" s="856"/>
      <c r="AF130" s="856"/>
      <c r="AG130" s="856"/>
      <c r="AH130" s="856"/>
      <c r="AI130" s="856"/>
      <c r="AJ130" s="856"/>
      <c r="AK130" s="1201"/>
      <c r="AL130" s="84"/>
      <c r="AM130" s="255"/>
      <c r="AX130" s="121"/>
    </row>
    <row r="131" spans="1:52" ht="15.75" customHeight="1" thickBot="1">
      <c r="A131" s="84"/>
      <c r="B131" s="884" t="s">
        <v>2198</v>
      </c>
      <c r="C131" s="885"/>
      <c r="D131" s="885"/>
      <c r="E131" s="885"/>
      <c r="F131" s="885"/>
      <c r="G131" s="885"/>
      <c r="H131" s="885"/>
      <c r="I131" s="885"/>
      <c r="J131" s="885"/>
      <c r="K131" s="885"/>
      <c r="L131" s="885"/>
      <c r="M131" s="885"/>
      <c r="N131" s="885"/>
      <c r="O131" s="885"/>
      <c r="P131" s="885"/>
      <c r="Q131" s="886"/>
      <c r="R131" s="252" t="s">
        <v>177</v>
      </c>
      <c r="S131" s="253" t="str">
        <f>'別紙様式2-4（年度内の区分変更がある場合に記入）'!AQ11</f>
        <v/>
      </c>
      <c r="T131" s="1200" t="s">
        <v>2201</v>
      </c>
      <c r="U131" s="856"/>
      <c r="V131" s="856"/>
      <c r="W131" s="856"/>
      <c r="X131" s="856"/>
      <c r="Y131" s="856"/>
      <c r="Z131" s="856"/>
      <c r="AA131" s="856"/>
      <c r="AB131" s="856"/>
      <c r="AC131" s="856"/>
      <c r="AD131" s="856"/>
      <c r="AE131" s="856"/>
      <c r="AF131" s="856"/>
      <c r="AG131" s="856"/>
      <c r="AH131" s="856"/>
      <c r="AI131" s="856"/>
      <c r="AJ131" s="856"/>
      <c r="AK131" s="1201"/>
      <c r="AL131" s="84"/>
      <c r="AW131" s="121"/>
    </row>
    <row r="132" spans="1:52" ht="6" customHeight="1" thickBot="1">
      <c r="A132" s="84"/>
      <c r="B132" s="206"/>
      <c r="C132" s="84"/>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84"/>
      <c r="AL132" s="84"/>
      <c r="AM132" s="255"/>
      <c r="AX132" s="121"/>
    </row>
    <row r="133" spans="1:52" ht="14.25" thickBot="1">
      <c r="A133" s="84"/>
      <c r="B133" s="256" t="s">
        <v>1972</v>
      </c>
      <c r="D133" s="257"/>
      <c r="E133" s="257"/>
      <c r="F133" s="257"/>
      <c r="G133" s="257"/>
      <c r="H133" s="257"/>
      <c r="I133" s="257"/>
      <c r="J133" s="257"/>
      <c r="K133" s="257"/>
      <c r="L133" s="257"/>
      <c r="M133" s="257"/>
      <c r="N133" s="257"/>
      <c r="O133" s="257"/>
      <c r="P133" s="257"/>
      <c r="Q133" s="257"/>
      <c r="R133" s="257"/>
      <c r="S133" s="257"/>
      <c r="T133" s="257"/>
      <c r="U133" s="257"/>
      <c r="V133" s="159"/>
      <c r="W133" s="159"/>
      <c r="X133" s="159"/>
      <c r="Y133" s="159"/>
      <c r="Z133" s="159"/>
      <c r="AA133" s="159"/>
      <c r="AB133" s="159"/>
      <c r="AC133" s="159"/>
      <c r="AD133" s="159"/>
      <c r="AE133" s="159"/>
      <c r="AF133" s="159"/>
      <c r="AG133" s="159"/>
      <c r="AH133" s="159"/>
      <c r="AI133" s="159"/>
      <c r="AJ133" s="159"/>
      <c r="AK133" s="111" t="str">
        <f>IF(AM129="","",IF(AM129="○","",IF(OR(AM135=TRUE,AM136=TRUE,AM137=TRUE,AND(AM138=TRUE,F138&lt;&gt;"")),"○","×")))</f>
        <v/>
      </c>
      <c r="AL133" s="84"/>
      <c r="AM133" s="829" t="s">
        <v>2204</v>
      </c>
      <c r="AN133" s="888"/>
      <c r="AO133" s="888"/>
      <c r="AP133" s="888"/>
      <c r="AQ133" s="888"/>
      <c r="AR133" s="888"/>
      <c r="AS133" s="888"/>
      <c r="AT133" s="888"/>
      <c r="AU133" s="888"/>
      <c r="AV133" s="888"/>
      <c r="AW133" s="888"/>
      <c r="AX133" s="888"/>
      <c r="AY133" s="889"/>
    </row>
    <row r="134" spans="1:52" s="94" customFormat="1" ht="14.25" customHeight="1">
      <c r="A134" s="93"/>
      <c r="B134" s="258" t="s">
        <v>1965</v>
      </c>
      <c r="C134" s="259"/>
      <c r="D134" s="260"/>
      <c r="E134" s="261"/>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3"/>
      <c r="AL134" s="93"/>
      <c r="AN134" s="264"/>
      <c r="AO134" s="264"/>
      <c r="AP134" s="264"/>
      <c r="AQ134" s="264"/>
      <c r="AR134" s="264"/>
      <c r="AS134" s="264"/>
      <c r="AT134" s="264"/>
      <c r="AU134" s="264"/>
      <c r="AV134" s="265"/>
      <c r="AW134" s="266"/>
    </row>
    <row r="135" spans="1:52" s="94" customFormat="1" ht="16.5" customHeight="1">
      <c r="A135" s="93"/>
      <c r="B135" s="141"/>
      <c r="C135" s="267"/>
      <c r="D135" s="135" t="s">
        <v>116</v>
      </c>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50"/>
      <c r="AJ135" s="93"/>
      <c r="AK135" s="151"/>
      <c r="AL135" s="93"/>
      <c r="AM135" s="82" t="b">
        <v>0</v>
      </c>
      <c r="AN135" s="264"/>
      <c r="AO135" s="264"/>
      <c r="AP135" s="264"/>
      <c r="AQ135" s="264"/>
      <c r="AR135" s="264"/>
      <c r="AS135" s="264"/>
      <c r="AT135" s="264"/>
      <c r="AU135" s="265"/>
      <c r="AV135" s="266"/>
    </row>
    <row r="136" spans="1:52" s="94" customFormat="1" ht="16.5" customHeight="1">
      <c r="A136" s="93"/>
      <c r="B136" s="141"/>
      <c r="C136" s="268"/>
      <c r="D136" s="135" t="s">
        <v>117</v>
      </c>
      <c r="E136" s="269"/>
      <c r="F136" s="269"/>
      <c r="G136" s="269"/>
      <c r="H136" s="269"/>
      <c r="I136" s="269"/>
      <c r="J136" s="269"/>
      <c r="K136" s="269"/>
      <c r="L136" s="269"/>
      <c r="M136" s="269"/>
      <c r="N136" s="269"/>
      <c r="O136" s="269"/>
      <c r="P136" s="269"/>
      <c r="Q136" s="269"/>
      <c r="R136" s="269"/>
      <c r="S136" s="269"/>
      <c r="T136" s="102"/>
      <c r="U136" s="102"/>
      <c r="V136" s="102"/>
      <c r="W136" s="102"/>
      <c r="X136" s="102"/>
      <c r="Y136" s="102"/>
      <c r="Z136" s="102"/>
      <c r="AA136" s="102"/>
      <c r="AB136" s="102"/>
      <c r="AC136" s="102"/>
      <c r="AD136" s="102"/>
      <c r="AE136" s="102"/>
      <c r="AF136" s="102"/>
      <c r="AG136" s="102"/>
      <c r="AH136" s="102"/>
      <c r="AI136" s="150"/>
      <c r="AJ136" s="93"/>
      <c r="AK136" s="151"/>
      <c r="AL136" s="93"/>
      <c r="AM136" s="82" t="b">
        <v>0</v>
      </c>
      <c r="AN136" s="264"/>
      <c r="AO136" s="264"/>
      <c r="AP136" s="264"/>
      <c r="AQ136" s="264"/>
      <c r="AR136" s="264"/>
      <c r="AS136" s="264"/>
      <c r="AT136" s="264"/>
      <c r="AU136" s="265"/>
      <c r="AV136" s="266"/>
    </row>
    <row r="137" spans="1:52" s="94" customFormat="1" ht="25.5" customHeight="1" thickBot="1">
      <c r="A137" s="93"/>
      <c r="B137" s="141"/>
      <c r="C137" s="268"/>
      <c r="D137" s="1173" t="s">
        <v>93</v>
      </c>
      <c r="E137" s="1173"/>
      <c r="F137" s="1173"/>
      <c r="G137" s="1173"/>
      <c r="H137" s="1173"/>
      <c r="I137" s="1173"/>
      <c r="J137" s="1173"/>
      <c r="K137" s="1173"/>
      <c r="L137" s="1173"/>
      <c r="M137" s="1173"/>
      <c r="N137" s="1173"/>
      <c r="O137" s="1173"/>
      <c r="P137" s="1173"/>
      <c r="Q137" s="1173"/>
      <c r="R137" s="1173"/>
      <c r="S137" s="1173"/>
      <c r="T137" s="1173"/>
      <c r="U137" s="1173"/>
      <c r="V137" s="1173"/>
      <c r="W137" s="1173"/>
      <c r="X137" s="1173"/>
      <c r="Y137" s="1173"/>
      <c r="Z137" s="1173"/>
      <c r="AA137" s="1173"/>
      <c r="AB137" s="1173"/>
      <c r="AC137" s="1173"/>
      <c r="AD137" s="1173"/>
      <c r="AE137" s="1173"/>
      <c r="AF137" s="1173"/>
      <c r="AG137" s="1173"/>
      <c r="AH137" s="1173"/>
      <c r="AI137" s="1173"/>
      <c r="AJ137" s="93"/>
      <c r="AK137" s="151"/>
      <c r="AL137" s="270"/>
      <c r="AM137" s="82" t="b">
        <v>0</v>
      </c>
      <c r="AN137" s="265"/>
      <c r="AO137" s="265"/>
      <c r="AP137" s="265"/>
      <c r="AS137" s="266"/>
      <c r="AT137" s="266"/>
    </row>
    <row r="138" spans="1:52" s="94" customFormat="1" ht="18" customHeight="1" thickBot="1">
      <c r="A138" s="93"/>
      <c r="B138" s="271"/>
      <c r="C138" s="272"/>
      <c r="D138" s="273" t="s">
        <v>32</v>
      </c>
      <c r="E138" s="274"/>
      <c r="F138" s="880"/>
      <c r="G138" s="880"/>
      <c r="H138" s="880"/>
      <c r="I138" s="880"/>
      <c r="J138" s="880"/>
      <c r="K138" s="880"/>
      <c r="L138" s="880"/>
      <c r="M138" s="880"/>
      <c r="N138" s="880"/>
      <c r="O138" s="880"/>
      <c r="P138" s="880"/>
      <c r="Q138" s="880"/>
      <c r="R138" s="880"/>
      <c r="S138" s="880"/>
      <c r="T138" s="880"/>
      <c r="U138" s="880"/>
      <c r="V138" s="880"/>
      <c r="W138" s="880"/>
      <c r="X138" s="880"/>
      <c r="Y138" s="880"/>
      <c r="Z138" s="880"/>
      <c r="AA138" s="880"/>
      <c r="AB138" s="880"/>
      <c r="AC138" s="880"/>
      <c r="AD138" s="880"/>
      <c r="AE138" s="880"/>
      <c r="AF138" s="880"/>
      <c r="AG138" s="880"/>
      <c r="AH138" s="880"/>
      <c r="AI138" s="880"/>
      <c r="AJ138" s="880"/>
      <c r="AK138" s="275" t="s">
        <v>21</v>
      </c>
      <c r="AL138" s="93"/>
      <c r="AM138" s="82" t="b">
        <v>0</v>
      </c>
      <c r="AN138" s="840" t="s">
        <v>2195</v>
      </c>
      <c r="AO138" s="841"/>
      <c r="AP138" s="841"/>
      <c r="AQ138" s="841"/>
      <c r="AR138" s="841"/>
      <c r="AS138" s="841"/>
      <c r="AT138" s="841"/>
      <c r="AU138" s="841"/>
      <c r="AV138" s="841"/>
      <c r="AW138" s="841"/>
      <c r="AX138" s="841"/>
      <c r="AY138" s="842"/>
    </row>
    <row r="139" spans="1:52" ht="6" customHeight="1">
      <c r="A139" s="84"/>
      <c r="B139" s="276"/>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7"/>
      <c r="AF139" s="277"/>
      <c r="AG139" s="277"/>
      <c r="AH139" s="277"/>
      <c r="AI139" s="277"/>
      <c r="AJ139" s="277"/>
      <c r="AK139" s="277"/>
      <c r="AL139" s="84"/>
      <c r="AZ139" s="94"/>
    </row>
    <row r="140" spans="1:52" ht="18" customHeight="1">
      <c r="A140" s="84"/>
      <c r="B140" s="855" t="s">
        <v>1981</v>
      </c>
      <c r="C140" s="855"/>
      <c r="D140" s="855"/>
      <c r="E140" s="855"/>
      <c r="F140" s="855"/>
      <c r="G140" s="855"/>
      <c r="H140" s="855"/>
      <c r="I140" s="855"/>
      <c r="J140" s="855"/>
      <c r="K140" s="855"/>
      <c r="L140" s="855"/>
      <c r="M140" s="855"/>
      <c r="N140" s="855"/>
      <c r="O140" s="855"/>
      <c r="P140" s="855"/>
      <c r="Q140" s="855"/>
      <c r="R140" s="855"/>
      <c r="S140" s="855"/>
      <c r="T140" s="855"/>
      <c r="U140" s="855"/>
      <c r="V140" s="855"/>
      <c r="W140" s="855"/>
      <c r="X140" s="855"/>
      <c r="Y140" s="855"/>
      <c r="Z140" s="855"/>
      <c r="AA140" s="855"/>
      <c r="AB140" s="855"/>
      <c r="AC140" s="855"/>
      <c r="AD140" s="855"/>
      <c r="AE140" s="855"/>
      <c r="AF140" s="855"/>
      <c r="AG140" s="855"/>
      <c r="AH140" s="855"/>
      <c r="AI140" s="855"/>
      <c r="AJ140" s="855"/>
      <c r="AK140" s="855"/>
      <c r="AL140" s="84"/>
      <c r="AM140" s="278"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6" t="s">
        <v>2356</v>
      </c>
      <c r="C141" s="84"/>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84"/>
    </row>
    <row r="142" spans="1:52" ht="15" customHeight="1" thickBot="1">
      <c r="A142" s="84"/>
      <c r="B142" s="874" t="s">
        <v>1977</v>
      </c>
      <c r="C142" s="861"/>
      <c r="D142" s="861"/>
      <c r="E142" s="861"/>
      <c r="F142" s="861"/>
      <c r="G142" s="861"/>
      <c r="H142" s="861"/>
      <c r="I142" s="861"/>
      <c r="J142" s="861"/>
      <c r="K142" s="861"/>
      <c r="L142" s="861"/>
      <c r="M142" s="861"/>
      <c r="N142" s="861"/>
      <c r="O142" s="861"/>
      <c r="P142" s="861"/>
      <c r="Q142" s="862"/>
      <c r="R142" s="252" t="s">
        <v>177</v>
      </c>
      <c r="S142" s="279" t="str">
        <f>IF('別紙様式2-2（４・５月分）'!AL11="未入力あり","×",'別紙様式2-2（４・５月分）'!AL11)</f>
        <v/>
      </c>
      <c r="T142" s="1200" t="s">
        <v>1979</v>
      </c>
      <c r="U142" s="856"/>
      <c r="V142" s="856"/>
      <c r="W142" s="856"/>
      <c r="X142" s="856"/>
      <c r="Y142" s="856"/>
      <c r="Z142" s="856"/>
      <c r="AA142" s="856"/>
      <c r="AB142" s="856"/>
      <c r="AC142" s="856"/>
      <c r="AD142" s="856"/>
      <c r="AE142" s="856"/>
      <c r="AF142" s="856"/>
      <c r="AG142" s="856"/>
      <c r="AH142" s="856"/>
      <c r="AI142" s="856"/>
      <c r="AJ142" s="856"/>
      <c r="AK142" s="1201"/>
      <c r="AL142" s="84"/>
      <c r="AM142" s="255"/>
    </row>
    <row r="143" spans="1:52" ht="15" customHeight="1" thickBot="1">
      <c r="A143" s="84"/>
      <c r="B143" s="1169" t="s">
        <v>1978</v>
      </c>
      <c r="C143" s="857"/>
      <c r="D143" s="857"/>
      <c r="E143" s="857"/>
      <c r="F143" s="857"/>
      <c r="G143" s="857"/>
      <c r="H143" s="857"/>
      <c r="I143" s="857"/>
      <c r="J143" s="857"/>
      <c r="K143" s="857"/>
      <c r="L143" s="857"/>
      <c r="M143" s="857"/>
      <c r="N143" s="857"/>
      <c r="O143" s="857"/>
      <c r="P143" s="857"/>
      <c r="Q143" s="858"/>
      <c r="R143" s="252" t="s">
        <v>177</v>
      </c>
      <c r="S143" s="280" t="str">
        <f>IF('別紙様式2-3（６月以降分）'!AR11="未入力あり","×",'別紙様式2-3（６月以降分）'!AR11)</f>
        <v/>
      </c>
      <c r="T143" s="1202" t="s">
        <v>1980</v>
      </c>
      <c r="U143" s="966"/>
      <c r="V143" s="966"/>
      <c r="W143" s="966"/>
      <c r="X143" s="966"/>
      <c r="Y143" s="966"/>
      <c r="Z143" s="966"/>
      <c r="AA143" s="966"/>
      <c r="AB143" s="966"/>
      <c r="AC143" s="966"/>
      <c r="AD143" s="966"/>
      <c r="AE143" s="966"/>
      <c r="AF143" s="966"/>
      <c r="AG143" s="966"/>
      <c r="AH143" s="966"/>
      <c r="AI143" s="966"/>
      <c r="AJ143" s="966"/>
      <c r="AK143" s="975"/>
      <c r="AL143" s="84"/>
      <c r="AM143" s="255"/>
    </row>
    <row r="144" spans="1:52" ht="15" customHeight="1" thickBot="1">
      <c r="A144" s="84"/>
      <c r="B144" s="1169" t="s">
        <v>2142</v>
      </c>
      <c r="C144" s="857"/>
      <c r="D144" s="857"/>
      <c r="E144" s="857"/>
      <c r="F144" s="857"/>
      <c r="G144" s="857"/>
      <c r="H144" s="857"/>
      <c r="I144" s="857"/>
      <c r="J144" s="857"/>
      <c r="K144" s="857"/>
      <c r="L144" s="857"/>
      <c r="M144" s="857"/>
      <c r="N144" s="857"/>
      <c r="O144" s="857"/>
      <c r="P144" s="857"/>
      <c r="Q144" s="858"/>
      <c r="R144" s="252" t="s">
        <v>177</v>
      </c>
      <c r="S144" s="280" t="str">
        <f>IF('別紙様式2-4（年度内の区分変更がある場合に記入）'!AR11="未入力あり","×",'別紙様式2-4（年度内の区分変更がある場合に記入）'!AR11)</f>
        <v/>
      </c>
      <c r="T144" s="1202" t="s">
        <v>2143</v>
      </c>
      <c r="U144" s="966"/>
      <c r="V144" s="966"/>
      <c r="W144" s="966"/>
      <c r="X144" s="966"/>
      <c r="Y144" s="966"/>
      <c r="Z144" s="966"/>
      <c r="AA144" s="966"/>
      <c r="AB144" s="966"/>
      <c r="AC144" s="966"/>
      <c r="AD144" s="966"/>
      <c r="AE144" s="966"/>
      <c r="AF144" s="966"/>
      <c r="AG144" s="966"/>
      <c r="AH144" s="966"/>
      <c r="AI144" s="966"/>
      <c r="AJ144" s="966"/>
      <c r="AK144" s="975"/>
      <c r="AL144" s="84"/>
      <c r="AM144" s="255"/>
    </row>
    <row r="145" spans="1:51" s="94" customFormat="1" ht="6.75" customHeight="1">
      <c r="A145" s="93"/>
      <c r="B145" s="152"/>
      <c r="C145" s="152"/>
      <c r="D145" s="152"/>
      <c r="E145" s="152"/>
      <c r="F145" s="149"/>
      <c r="G145" s="150"/>
      <c r="H145" s="150"/>
      <c r="I145" s="150"/>
      <c r="J145" s="150"/>
      <c r="K145" s="150"/>
      <c r="L145" s="150"/>
      <c r="M145" s="193"/>
      <c r="N145" s="193"/>
      <c r="O145" s="193"/>
      <c r="P145" s="193"/>
      <c r="Q145" s="193"/>
      <c r="R145" s="193"/>
      <c r="S145" s="193"/>
      <c r="T145" s="193"/>
      <c r="U145" s="150"/>
      <c r="V145" s="150"/>
      <c r="W145" s="162"/>
      <c r="X145" s="150"/>
      <c r="Y145" s="150"/>
      <c r="Z145" s="150"/>
      <c r="AA145" s="193"/>
      <c r="AB145" s="150"/>
      <c r="AC145" s="150"/>
      <c r="AD145" s="150"/>
      <c r="AE145" s="150"/>
      <c r="AF145" s="150"/>
      <c r="AG145" s="150"/>
      <c r="AH145" s="150"/>
      <c r="AI145" s="150"/>
      <c r="AJ145" s="150"/>
      <c r="AK145" s="150"/>
      <c r="AL145" s="93"/>
    </row>
    <row r="146" spans="1:51" s="196" customFormat="1" ht="18" customHeight="1" thickBot="1">
      <c r="A146" s="194"/>
      <c r="B146" s="937" t="s">
        <v>186</v>
      </c>
      <c r="C146" s="937"/>
      <c r="D146" s="937"/>
      <c r="E146" s="937"/>
      <c r="F146" s="937"/>
      <c r="G146" s="937"/>
      <c r="H146" s="937"/>
      <c r="I146" s="937"/>
      <c r="J146" s="937"/>
      <c r="K146" s="937"/>
      <c r="L146" s="937"/>
      <c r="M146" s="937"/>
      <c r="N146" s="937"/>
      <c r="O146" s="937"/>
      <c r="P146" s="937"/>
      <c r="Q146" s="937"/>
      <c r="R146" s="937"/>
      <c r="S146" s="937"/>
      <c r="T146" s="937"/>
      <c r="U146" s="937"/>
      <c r="V146" s="937"/>
      <c r="W146" s="937"/>
      <c r="X146" s="937"/>
      <c r="Y146" s="937"/>
      <c r="Z146" s="937"/>
      <c r="AA146" s="937"/>
      <c r="AB146" s="937"/>
      <c r="AC146" s="937"/>
      <c r="AD146" s="937"/>
      <c r="AE146" s="937"/>
      <c r="AF146" s="937"/>
      <c r="AG146" s="937"/>
      <c r="AH146" s="937"/>
      <c r="AI146" s="937"/>
      <c r="AJ146" s="937"/>
      <c r="AK146" s="937"/>
      <c r="AL146" s="85"/>
    </row>
    <row r="147" spans="1:51" s="94" customFormat="1" ht="18.75" customHeight="1" thickBot="1">
      <c r="A147" s="93"/>
      <c r="B147" s="156" t="s">
        <v>2088</v>
      </c>
      <c r="C147" s="135"/>
      <c r="D147" s="135"/>
      <c r="E147" s="135"/>
      <c r="F147" s="135"/>
      <c r="G147" s="135"/>
      <c r="H147" s="135"/>
      <c r="I147" s="135"/>
      <c r="J147" s="135"/>
      <c r="K147" s="135"/>
      <c r="L147" s="135"/>
      <c r="M147" s="135"/>
      <c r="N147" s="135"/>
      <c r="O147" s="135"/>
      <c r="P147" s="135"/>
      <c r="Q147" s="135"/>
      <c r="R147" s="135"/>
      <c r="S147" s="135"/>
      <c r="T147" s="135"/>
      <c r="U147" s="135"/>
      <c r="V147" s="93"/>
      <c r="W147" s="135"/>
      <c r="X147" s="135"/>
      <c r="Y147" s="135"/>
      <c r="Z147" s="135"/>
      <c r="AA147" s="135"/>
      <c r="AB147" s="135"/>
      <c r="AC147" s="135"/>
      <c r="AD147" s="135"/>
      <c r="AE147" s="135"/>
      <c r="AF147" s="135"/>
      <c r="AG147" s="135"/>
      <c r="AH147" s="93"/>
      <c r="AI147" s="934" t="str">
        <f>IF(AND('別紙様式2-2（４・５月分）'!AR7="特定加算なし",'別紙様式2-3（６月以降分）'!BE6="旧特定加算相当なし",'別紙様式2-4（年度内の区分変更がある場合に記入）'!AY7="旧特定加算相当なし"),"該当","")</f>
        <v>該当</v>
      </c>
      <c r="AJ147" s="935"/>
      <c r="AK147" s="936"/>
      <c r="AL147" s="93"/>
    </row>
    <row r="148" spans="1:51" s="94" customFormat="1" ht="28.5" customHeight="1">
      <c r="A148" s="93"/>
      <c r="B148" s="181" t="s">
        <v>177</v>
      </c>
      <c r="C148" s="938" t="s">
        <v>1983</v>
      </c>
      <c r="D148" s="938"/>
      <c r="E148" s="938"/>
      <c r="F148" s="938"/>
      <c r="G148" s="938"/>
      <c r="H148" s="938"/>
      <c r="I148" s="938"/>
      <c r="J148" s="938"/>
      <c r="K148" s="938"/>
      <c r="L148" s="938"/>
      <c r="M148" s="938"/>
      <c r="N148" s="938"/>
      <c r="O148" s="938"/>
      <c r="P148" s="938"/>
      <c r="Q148" s="938"/>
      <c r="R148" s="938"/>
      <c r="S148" s="938"/>
      <c r="T148" s="938"/>
      <c r="U148" s="938"/>
      <c r="V148" s="938"/>
      <c r="W148" s="938"/>
      <c r="X148" s="938"/>
      <c r="Y148" s="938"/>
      <c r="Z148" s="938"/>
      <c r="AA148" s="938"/>
      <c r="AB148" s="938"/>
      <c r="AC148" s="938"/>
      <c r="AD148" s="938"/>
      <c r="AE148" s="938"/>
      <c r="AF148" s="938"/>
      <c r="AG148" s="938"/>
      <c r="AH148" s="938"/>
      <c r="AI148" s="938"/>
      <c r="AJ148" s="938"/>
      <c r="AK148" s="938"/>
      <c r="AL148" s="93"/>
    </row>
    <row r="149" spans="1:51" s="94" customFormat="1" ht="3.75" customHeight="1" thickBot="1">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row>
    <row r="150" spans="1:51" s="94" customFormat="1" ht="14.25" customHeight="1" thickBot="1">
      <c r="A150" s="93"/>
      <c r="B150" s="156" t="s">
        <v>2089</v>
      </c>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35"/>
      <c r="AI150" s="1104" t="str">
        <f>IF(OR('別紙様式2-2（４・５月分）'!AR7="特定加算あり",'別紙様式2-3（６月以降分）'!BE6="旧特定加算相当あり",'別紙様式2-4（年度内の区分変更がある場合に記入）'!AY7="旧特定加算相当あり"),"該当","")</f>
        <v/>
      </c>
      <c r="AJ150" s="1105"/>
      <c r="AK150" s="1106"/>
      <c r="AL150" s="93"/>
    </row>
    <row r="151" spans="1:51" s="94" customFormat="1" ht="39" customHeight="1" thickBot="1">
      <c r="A151" s="93"/>
      <c r="B151" s="181" t="s">
        <v>177</v>
      </c>
      <c r="C151" s="938" t="s">
        <v>2337</v>
      </c>
      <c r="D151" s="938"/>
      <c r="E151" s="938"/>
      <c r="F151" s="938"/>
      <c r="G151" s="938"/>
      <c r="H151" s="938"/>
      <c r="I151" s="938"/>
      <c r="J151" s="938"/>
      <c r="K151" s="938"/>
      <c r="L151" s="938"/>
      <c r="M151" s="938"/>
      <c r="N151" s="938"/>
      <c r="O151" s="938"/>
      <c r="P151" s="938"/>
      <c r="Q151" s="938"/>
      <c r="R151" s="938"/>
      <c r="S151" s="938"/>
      <c r="T151" s="938"/>
      <c r="U151" s="938"/>
      <c r="V151" s="938"/>
      <c r="W151" s="938"/>
      <c r="X151" s="938"/>
      <c r="Y151" s="938"/>
      <c r="Z151" s="938"/>
      <c r="AA151" s="938"/>
      <c r="AB151" s="938"/>
      <c r="AC151" s="938"/>
      <c r="AD151" s="938"/>
      <c r="AE151" s="938"/>
      <c r="AF151" s="938"/>
      <c r="AG151" s="938"/>
      <c r="AH151" s="938"/>
      <c r="AI151" s="938"/>
      <c r="AJ151" s="938"/>
      <c r="AK151" s="938"/>
      <c r="AL151" s="93"/>
      <c r="AN151" s="803" t="s">
        <v>2338</v>
      </c>
      <c r="AO151" s="804"/>
      <c r="AP151" s="804"/>
      <c r="AQ151" s="804"/>
      <c r="AR151" s="804"/>
      <c r="AS151" s="804"/>
      <c r="AT151" s="804"/>
      <c r="AU151" s="804"/>
      <c r="AV151" s="804"/>
      <c r="AW151" s="804"/>
      <c r="AX151" s="804"/>
      <c r="AY151" s="805"/>
    </row>
    <row r="152" spans="1:51" s="94" customFormat="1" ht="4.5" customHeight="1" thickBot="1">
      <c r="A152" s="93"/>
      <c r="B152" s="281"/>
      <c r="C152" s="281"/>
      <c r="D152" s="281"/>
      <c r="E152" s="281"/>
      <c r="F152" s="281"/>
      <c r="G152" s="281"/>
      <c r="H152" s="281"/>
      <c r="I152" s="281"/>
      <c r="J152" s="281"/>
      <c r="K152" s="281"/>
      <c r="L152" s="281"/>
      <c r="M152" s="281"/>
      <c r="N152" s="281"/>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1"/>
      <c r="AJ152" s="281"/>
      <c r="AK152" s="281"/>
      <c r="AL152" s="93"/>
      <c r="AM152"/>
    </row>
    <row r="153" spans="1:51" s="94" customFormat="1" ht="13.5" customHeight="1" thickBot="1">
      <c r="A153" s="93"/>
      <c r="B153" s="1088"/>
      <c r="C153" s="1089"/>
      <c r="D153" s="1089"/>
      <c r="E153" s="1090"/>
      <c r="F153" s="1170"/>
      <c r="G153" s="1171"/>
      <c r="H153" s="1171"/>
      <c r="I153" s="1171"/>
      <c r="J153" s="1171"/>
      <c r="K153" s="1171"/>
      <c r="L153" s="1171"/>
      <c r="M153" s="1171"/>
      <c r="N153" s="1171"/>
      <c r="O153" s="1171"/>
      <c r="P153" s="1171"/>
      <c r="Q153" s="1171"/>
      <c r="R153" s="1171"/>
      <c r="S153" s="1171"/>
      <c r="T153" s="1171"/>
      <c r="U153" s="1171"/>
      <c r="V153" s="1171"/>
      <c r="W153" s="1171"/>
      <c r="X153" s="1171"/>
      <c r="Y153" s="1171"/>
      <c r="Z153" s="1171"/>
      <c r="AA153" s="1171"/>
      <c r="AB153" s="1171"/>
      <c r="AC153" s="1171"/>
      <c r="AD153" s="1171"/>
      <c r="AE153" s="1171"/>
      <c r="AF153" s="1171"/>
      <c r="AG153" s="1171"/>
      <c r="AH153" s="1171"/>
      <c r="AI153" s="1171"/>
      <c r="AJ153" s="1172"/>
      <c r="AK153" s="282" t="str">
        <f>IF(AI150="該当",IF((IF(COUNTIF(AM154:AM157,TRUE)&gt;=1,1,0)+IF(COUNTIF(AM158:AM161,TRUE)&gt;=1,1,0)+IF(COUNTIF(AM162:AM166,TRUE)&gt;=1,1,0)+IF(COUNTIF(AM167:AM170,TRUE)&gt;=1,1,0)+IF(COUNTIF(AM171:AM174,TRUE)&gt;=1,1,0)+IF(COUNTIF(AM175:AM178,TRUE)&gt;=1,1,0))&gt;=3,"○","×"),IF(COUNTIF(AM154:AM178,TRUE)&gt;=1,"○","×"))</f>
        <v>×</v>
      </c>
      <c r="AL153" s="93"/>
      <c r="AM153" s="283" t="s">
        <v>2136</v>
      </c>
      <c r="AN153" s="829" t="s">
        <v>2100</v>
      </c>
      <c r="AO153" s="830"/>
      <c r="AP153" s="830"/>
      <c r="AQ153" s="830"/>
      <c r="AR153" s="830"/>
      <c r="AS153" s="830"/>
      <c r="AT153" s="830"/>
      <c r="AU153" s="830"/>
      <c r="AV153" s="830"/>
      <c r="AW153" s="830"/>
      <c r="AX153" s="830"/>
      <c r="AY153" s="831"/>
    </row>
    <row r="154" spans="1:51" s="94" customFormat="1" ht="14.25" customHeight="1">
      <c r="A154" s="93"/>
      <c r="B154" s="864" t="s">
        <v>2330</v>
      </c>
      <c r="C154" s="865"/>
      <c r="D154" s="865"/>
      <c r="E154" s="866"/>
      <c r="F154" s="284"/>
      <c r="G154" s="1091" t="s">
        <v>2350</v>
      </c>
      <c r="H154" s="1091"/>
      <c r="I154" s="1091"/>
      <c r="J154" s="1091"/>
      <c r="K154" s="1091"/>
      <c r="L154" s="1091"/>
      <c r="M154" s="1091"/>
      <c r="N154" s="1091"/>
      <c r="O154" s="1091"/>
      <c r="P154" s="1091"/>
      <c r="Q154" s="1091"/>
      <c r="R154" s="1091"/>
      <c r="S154" s="1091"/>
      <c r="T154" s="1091"/>
      <c r="U154" s="1091"/>
      <c r="V154" s="1091"/>
      <c r="W154" s="1091"/>
      <c r="X154" s="1091"/>
      <c r="Y154" s="1091"/>
      <c r="Z154" s="1091"/>
      <c r="AA154" s="1091"/>
      <c r="AB154" s="1091"/>
      <c r="AC154" s="1091"/>
      <c r="AD154" s="1091"/>
      <c r="AE154" s="1091"/>
      <c r="AF154" s="1091"/>
      <c r="AG154" s="1091"/>
      <c r="AH154" s="1091"/>
      <c r="AI154" s="1091"/>
      <c r="AJ154" s="1091"/>
      <c r="AK154" s="1092"/>
      <c r="AL154" s="93"/>
      <c r="AM154" s="82" t="b">
        <v>0</v>
      </c>
    </row>
    <row r="155" spans="1:51" s="94" customFormat="1" ht="13.5" customHeight="1">
      <c r="A155" s="93"/>
      <c r="B155" s="867"/>
      <c r="C155" s="868"/>
      <c r="D155" s="868"/>
      <c r="E155" s="869"/>
      <c r="F155" s="663"/>
      <c r="G155" s="844" t="s">
        <v>95</v>
      </c>
      <c r="H155" s="844"/>
      <c r="I155" s="844"/>
      <c r="J155" s="844"/>
      <c r="K155" s="844"/>
      <c r="L155" s="844"/>
      <c r="M155" s="844"/>
      <c r="N155" s="844"/>
      <c r="O155" s="844"/>
      <c r="P155" s="844"/>
      <c r="Q155" s="844"/>
      <c r="R155" s="844"/>
      <c r="S155" s="844"/>
      <c r="T155" s="844"/>
      <c r="U155" s="844"/>
      <c r="V155" s="844"/>
      <c r="W155" s="844"/>
      <c r="X155" s="844"/>
      <c r="Y155" s="844"/>
      <c r="Z155" s="844"/>
      <c r="AA155" s="844"/>
      <c r="AB155" s="844"/>
      <c r="AC155" s="844"/>
      <c r="AD155" s="844"/>
      <c r="AE155" s="844"/>
      <c r="AF155" s="844"/>
      <c r="AG155" s="844"/>
      <c r="AH155" s="844"/>
      <c r="AI155" s="844"/>
      <c r="AJ155" s="844"/>
      <c r="AK155" s="664"/>
      <c r="AL155" s="93"/>
      <c r="AM155" s="673" t="b">
        <v>0</v>
      </c>
      <c r="AN155" s="761"/>
      <c r="AO155" s="761"/>
      <c r="AP155" s="761"/>
      <c r="AQ155" s="761"/>
      <c r="AR155" s="761"/>
      <c r="AS155" s="761"/>
      <c r="AT155" s="761"/>
      <c r="AU155" s="761"/>
      <c r="AV155" s="761"/>
      <c r="AW155" s="761"/>
      <c r="AX155" s="761"/>
      <c r="AY155" s="761"/>
    </row>
    <row r="156" spans="1:51" s="94" customFormat="1" ht="13.5" customHeight="1">
      <c r="A156" s="93"/>
      <c r="B156" s="867"/>
      <c r="C156" s="868"/>
      <c r="D156" s="868"/>
      <c r="E156" s="869"/>
      <c r="F156" s="663"/>
      <c r="G156" s="844" t="s">
        <v>109</v>
      </c>
      <c r="H156" s="844"/>
      <c r="I156" s="844"/>
      <c r="J156" s="844"/>
      <c r="K156" s="844"/>
      <c r="L156" s="844"/>
      <c r="M156" s="844"/>
      <c r="N156" s="844"/>
      <c r="O156" s="844"/>
      <c r="P156" s="844"/>
      <c r="Q156" s="844"/>
      <c r="R156" s="844"/>
      <c r="S156" s="844"/>
      <c r="T156" s="844"/>
      <c r="U156" s="844"/>
      <c r="V156" s="844"/>
      <c r="W156" s="844"/>
      <c r="X156" s="844"/>
      <c r="Y156" s="844"/>
      <c r="Z156" s="844"/>
      <c r="AA156" s="844"/>
      <c r="AB156" s="844"/>
      <c r="AC156" s="844"/>
      <c r="AD156" s="844"/>
      <c r="AE156" s="844"/>
      <c r="AF156" s="844"/>
      <c r="AG156" s="844"/>
      <c r="AH156" s="844"/>
      <c r="AI156" s="844"/>
      <c r="AJ156" s="844"/>
      <c r="AK156" s="664"/>
      <c r="AL156" s="93"/>
      <c r="AM156" s="673" t="b">
        <v>0</v>
      </c>
      <c r="AN156" s="761"/>
      <c r="AO156" s="761"/>
      <c r="AP156" s="761"/>
      <c r="AQ156" s="761"/>
      <c r="AR156" s="761"/>
      <c r="AS156" s="761"/>
      <c r="AT156" s="761"/>
      <c r="AU156" s="761"/>
      <c r="AV156" s="761"/>
      <c r="AW156" s="761"/>
      <c r="AX156" s="761"/>
      <c r="AY156" s="761"/>
    </row>
    <row r="157" spans="1:51" s="94" customFormat="1" ht="13.5" customHeight="1">
      <c r="A157" s="93"/>
      <c r="B157" s="870"/>
      <c r="C157" s="871"/>
      <c r="D157" s="871"/>
      <c r="E157" s="872"/>
      <c r="F157" s="665"/>
      <c r="G157" s="1093" t="s">
        <v>2351</v>
      </c>
      <c r="H157" s="1093"/>
      <c r="I157" s="1093"/>
      <c r="J157" s="1093"/>
      <c r="K157" s="1093"/>
      <c r="L157" s="1093"/>
      <c r="M157" s="1093"/>
      <c r="N157" s="1093"/>
      <c r="O157" s="1093"/>
      <c r="P157" s="1093"/>
      <c r="Q157" s="1093"/>
      <c r="R157" s="1093"/>
      <c r="S157" s="1093"/>
      <c r="T157" s="1093"/>
      <c r="U157" s="1093"/>
      <c r="V157" s="1093"/>
      <c r="W157" s="1093"/>
      <c r="X157" s="1093"/>
      <c r="Y157" s="1093"/>
      <c r="Z157" s="1093"/>
      <c r="AA157" s="1093"/>
      <c r="AB157" s="1093"/>
      <c r="AC157" s="1093"/>
      <c r="AD157" s="1093"/>
      <c r="AE157" s="1093"/>
      <c r="AF157" s="1093"/>
      <c r="AG157" s="1093"/>
      <c r="AH157" s="1093"/>
      <c r="AI157" s="1093"/>
      <c r="AJ157" s="1093"/>
      <c r="AK157" s="666"/>
      <c r="AL157" s="93"/>
      <c r="AM157" s="673" t="b">
        <v>0</v>
      </c>
    </row>
    <row r="158" spans="1:51" s="94" customFormat="1" ht="27" customHeight="1">
      <c r="A158" s="93"/>
      <c r="B158" s="864" t="s">
        <v>2331</v>
      </c>
      <c r="C158" s="865"/>
      <c r="D158" s="865"/>
      <c r="E158" s="866"/>
      <c r="F158" s="667"/>
      <c r="G158" s="815" t="s">
        <v>2352</v>
      </c>
      <c r="H158" s="815"/>
      <c r="I158" s="815"/>
      <c r="J158" s="815"/>
      <c r="K158" s="815"/>
      <c r="L158" s="815"/>
      <c r="M158" s="815"/>
      <c r="N158" s="815"/>
      <c r="O158" s="815"/>
      <c r="P158" s="815"/>
      <c r="Q158" s="815"/>
      <c r="R158" s="815"/>
      <c r="S158" s="815"/>
      <c r="T158" s="815"/>
      <c r="U158" s="815"/>
      <c r="V158" s="815"/>
      <c r="W158" s="815"/>
      <c r="X158" s="815"/>
      <c r="Y158" s="815"/>
      <c r="Z158" s="815"/>
      <c r="AA158" s="815"/>
      <c r="AB158" s="815"/>
      <c r="AC158" s="815"/>
      <c r="AD158" s="815"/>
      <c r="AE158" s="815"/>
      <c r="AF158" s="815"/>
      <c r="AG158" s="815"/>
      <c r="AH158" s="815"/>
      <c r="AI158" s="815"/>
      <c r="AJ158" s="815"/>
      <c r="AK158" s="816"/>
      <c r="AL158" s="93"/>
      <c r="AM158" s="673" t="b">
        <v>0</v>
      </c>
    </row>
    <row r="159" spans="1:51" s="94" customFormat="1" ht="13.5" customHeight="1">
      <c r="A159" s="93"/>
      <c r="B159" s="867"/>
      <c r="C159" s="868"/>
      <c r="D159" s="868"/>
      <c r="E159" s="869"/>
      <c r="F159" s="663"/>
      <c r="G159" s="844" t="s">
        <v>96</v>
      </c>
      <c r="H159" s="844"/>
      <c r="I159" s="844"/>
      <c r="J159" s="844"/>
      <c r="K159" s="844"/>
      <c r="L159" s="844"/>
      <c r="M159" s="844"/>
      <c r="N159" s="844"/>
      <c r="O159" s="844"/>
      <c r="P159" s="844"/>
      <c r="Q159" s="844"/>
      <c r="R159" s="844"/>
      <c r="S159" s="844"/>
      <c r="T159" s="844"/>
      <c r="U159" s="844"/>
      <c r="V159" s="844"/>
      <c r="W159" s="844"/>
      <c r="X159" s="844"/>
      <c r="Y159" s="844"/>
      <c r="Z159" s="844"/>
      <c r="AA159" s="844"/>
      <c r="AB159" s="844"/>
      <c r="AC159" s="844"/>
      <c r="AD159" s="844"/>
      <c r="AE159" s="844"/>
      <c r="AF159" s="844"/>
      <c r="AG159" s="844"/>
      <c r="AH159" s="844"/>
      <c r="AI159" s="844"/>
      <c r="AJ159" s="844"/>
      <c r="AK159" s="668"/>
      <c r="AL159" s="93"/>
      <c r="AM159" s="673" t="b">
        <v>0</v>
      </c>
      <c r="AN159" s="761"/>
      <c r="AO159" s="761"/>
      <c r="AP159" s="761"/>
      <c r="AQ159" s="761"/>
      <c r="AR159" s="761"/>
      <c r="AS159" s="761"/>
      <c r="AT159" s="761"/>
      <c r="AU159" s="761"/>
      <c r="AV159" s="761"/>
      <c r="AW159" s="761"/>
      <c r="AX159" s="761"/>
      <c r="AY159" s="761"/>
    </row>
    <row r="160" spans="1:51" s="94" customFormat="1" ht="13.5" customHeight="1">
      <c r="A160" s="93"/>
      <c r="B160" s="867"/>
      <c r="C160" s="868"/>
      <c r="D160" s="868"/>
      <c r="E160" s="869"/>
      <c r="F160" s="663"/>
      <c r="G160" s="844" t="s">
        <v>97</v>
      </c>
      <c r="H160" s="844"/>
      <c r="I160" s="844"/>
      <c r="J160" s="844"/>
      <c r="K160" s="844"/>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664"/>
      <c r="AL160" s="93"/>
      <c r="AM160" s="673" t="b">
        <v>0</v>
      </c>
      <c r="AN160" s="761"/>
      <c r="AO160" s="761"/>
      <c r="AP160" s="761"/>
      <c r="AQ160" s="761"/>
      <c r="AR160" s="761"/>
      <c r="AS160" s="761"/>
      <c r="AT160" s="761"/>
      <c r="AU160" s="761"/>
      <c r="AV160" s="761"/>
      <c r="AW160" s="761"/>
      <c r="AX160" s="761"/>
      <c r="AY160" s="761"/>
    </row>
    <row r="161" spans="1:51" s="94" customFormat="1" ht="13.5" customHeight="1">
      <c r="A161" s="93"/>
      <c r="B161" s="870"/>
      <c r="C161" s="871"/>
      <c r="D161" s="871"/>
      <c r="E161" s="872"/>
      <c r="F161" s="669"/>
      <c r="G161" s="813" t="s">
        <v>98</v>
      </c>
      <c r="H161" s="813"/>
      <c r="I161" s="813"/>
      <c r="J161" s="813"/>
      <c r="K161" s="813"/>
      <c r="L161" s="813"/>
      <c r="M161" s="813"/>
      <c r="N161" s="813"/>
      <c r="O161" s="813"/>
      <c r="P161" s="813"/>
      <c r="Q161" s="813"/>
      <c r="R161" s="813"/>
      <c r="S161" s="813"/>
      <c r="T161" s="813"/>
      <c r="U161" s="813"/>
      <c r="V161" s="813"/>
      <c r="W161" s="813"/>
      <c r="X161" s="813"/>
      <c r="Y161" s="813"/>
      <c r="Z161" s="813"/>
      <c r="AA161" s="813"/>
      <c r="AB161" s="813"/>
      <c r="AC161" s="813"/>
      <c r="AD161" s="813"/>
      <c r="AE161" s="813"/>
      <c r="AF161" s="813"/>
      <c r="AG161" s="813"/>
      <c r="AH161" s="813"/>
      <c r="AI161" s="813"/>
      <c r="AJ161" s="813"/>
      <c r="AK161" s="814"/>
      <c r="AL161" s="93"/>
      <c r="AM161" s="673" t="b">
        <v>0</v>
      </c>
    </row>
    <row r="162" spans="1:51" s="94" customFormat="1" ht="13.5" customHeight="1">
      <c r="A162" s="93"/>
      <c r="B162" s="864" t="s">
        <v>2332</v>
      </c>
      <c r="C162" s="865"/>
      <c r="D162" s="865"/>
      <c r="E162" s="866"/>
      <c r="F162" s="285"/>
      <c r="G162" s="873" t="s">
        <v>99</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668"/>
      <c r="AL162" s="93"/>
      <c r="AM162" s="673" t="b">
        <v>0</v>
      </c>
    </row>
    <row r="163" spans="1:51" s="94" customFormat="1" ht="22.5" customHeight="1">
      <c r="A163" s="93"/>
      <c r="B163" s="867"/>
      <c r="C163" s="868"/>
      <c r="D163" s="868"/>
      <c r="E163" s="869"/>
      <c r="F163" s="663"/>
      <c r="G163" s="844" t="s">
        <v>100</v>
      </c>
      <c r="H163" s="844"/>
      <c r="I163" s="844"/>
      <c r="J163" s="844"/>
      <c r="K163" s="844"/>
      <c r="L163" s="844"/>
      <c r="M163" s="844"/>
      <c r="N163" s="844"/>
      <c r="O163" s="844"/>
      <c r="P163" s="844"/>
      <c r="Q163" s="844"/>
      <c r="R163" s="844"/>
      <c r="S163" s="844"/>
      <c r="T163" s="844"/>
      <c r="U163" s="844"/>
      <c r="V163" s="844"/>
      <c r="W163" s="844"/>
      <c r="X163" s="844"/>
      <c r="Y163" s="844"/>
      <c r="Z163" s="844"/>
      <c r="AA163" s="844"/>
      <c r="AB163" s="844"/>
      <c r="AC163" s="844"/>
      <c r="AD163" s="844"/>
      <c r="AE163" s="844"/>
      <c r="AF163" s="844"/>
      <c r="AG163" s="844"/>
      <c r="AH163" s="844"/>
      <c r="AI163" s="844"/>
      <c r="AJ163" s="844"/>
      <c r="AK163" s="664"/>
      <c r="AL163" s="93"/>
      <c r="AM163" s="673" t="b">
        <v>0</v>
      </c>
      <c r="AN163" s="761"/>
      <c r="AO163" s="761"/>
      <c r="AP163" s="761"/>
      <c r="AQ163" s="761"/>
      <c r="AR163" s="761"/>
      <c r="AS163" s="761"/>
      <c r="AT163" s="761"/>
      <c r="AU163" s="761"/>
      <c r="AV163" s="761"/>
      <c r="AW163" s="761"/>
      <c r="AX163" s="761"/>
      <c r="AY163" s="761"/>
    </row>
    <row r="164" spans="1:51" s="94" customFormat="1" ht="13.5" customHeight="1">
      <c r="A164" s="93"/>
      <c r="B164" s="867"/>
      <c r="C164" s="868"/>
      <c r="D164" s="868"/>
      <c r="E164" s="869"/>
      <c r="F164" s="663"/>
      <c r="G164" s="844" t="s">
        <v>101</v>
      </c>
      <c r="H164" s="844"/>
      <c r="I164" s="844"/>
      <c r="J164" s="844"/>
      <c r="K164" s="844"/>
      <c r="L164" s="844"/>
      <c r="M164" s="844"/>
      <c r="N164" s="844"/>
      <c r="O164" s="844"/>
      <c r="P164" s="844"/>
      <c r="Q164" s="844"/>
      <c r="R164" s="844"/>
      <c r="S164" s="844"/>
      <c r="T164" s="844"/>
      <c r="U164" s="844"/>
      <c r="V164" s="844"/>
      <c r="W164" s="844"/>
      <c r="X164" s="844"/>
      <c r="Y164" s="844"/>
      <c r="Z164" s="844"/>
      <c r="AA164" s="844"/>
      <c r="AB164" s="844"/>
      <c r="AC164" s="844"/>
      <c r="AD164" s="844"/>
      <c r="AE164" s="844"/>
      <c r="AF164" s="844"/>
      <c r="AG164" s="844"/>
      <c r="AH164" s="844"/>
      <c r="AI164" s="844"/>
      <c r="AJ164" s="844"/>
      <c r="AK164" s="664"/>
      <c r="AL164" s="93"/>
      <c r="AM164" s="673" t="b">
        <v>0</v>
      </c>
      <c r="AN164" s="761"/>
      <c r="AO164" s="761"/>
      <c r="AP164" s="761"/>
      <c r="AQ164" s="761"/>
      <c r="AR164" s="761"/>
      <c r="AS164" s="761"/>
      <c r="AT164" s="761"/>
      <c r="AU164" s="761"/>
      <c r="AV164" s="761"/>
      <c r="AW164" s="761"/>
      <c r="AX164" s="761"/>
      <c r="AY164" s="761"/>
    </row>
    <row r="165" spans="1:51" s="94" customFormat="1" ht="13.5" customHeight="1">
      <c r="A165" s="93"/>
      <c r="B165" s="867"/>
      <c r="C165" s="868"/>
      <c r="D165" s="868"/>
      <c r="E165" s="869" t="b">
        <v>0</v>
      </c>
      <c r="F165" s="663"/>
      <c r="G165" s="843" t="s">
        <v>102</v>
      </c>
      <c r="H165" s="843"/>
      <c r="I165" s="843"/>
      <c r="J165" s="843"/>
      <c r="K165" s="843"/>
      <c r="L165" s="843"/>
      <c r="M165" s="843"/>
      <c r="N165" s="843"/>
      <c r="O165" s="843"/>
      <c r="P165" s="843"/>
      <c r="Q165" s="843"/>
      <c r="R165" s="843"/>
      <c r="S165" s="843"/>
      <c r="T165" s="843"/>
      <c r="U165" s="843"/>
      <c r="V165" s="843"/>
      <c r="W165" s="843"/>
      <c r="X165" s="843"/>
      <c r="Y165" s="843"/>
      <c r="Z165" s="843"/>
      <c r="AA165" s="843"/>
      <c r="AB165" s="843"/>
      <c r="AC165" s="843"/>
      <c r="AD165" s="843"/>
      <c r="AE165" s="843"/>
      <c r="AF165" s="843"/>
      <c r="AG165" s="843"/>
      <c r="AH165" s="843"/>
      <c r="AI165" s="843"/>
      <c r="AJ165" s="843"/>
      <c r="AK165" s="664"/>
      <c r="AL165" s="93"/>
      <c r="AM165" s="673" t="b">
        <v>0</v>
      </c>
      <c r="AN165" s="662"/>
      <c r="AO165" s="662"/>
      <c r="AP165" s="662"/>
      <c r="AQ165" s="662"/>
      <c r="AR165" s="662"/>
      <c r="AS165" s="662"/>
      <c r="AT165" s="662"/>
      <c r="AU165" s="662"/>
      <c r="AV165" s="662"/>
      <c r="AW165" s="662"/>
      <c r="AX165" s="662"/>
      <c r="AY165" s="662"/>
    </row>
    <row r="166" spans="1:51" s="94" customFormat="1" ht="13.5" customHeight="1">
      <c r="A166" s="93"/>
      <c r="B166" s="870"/>
      <c r="C166" s="871"/>
      <c r="D166" s="871"/>
      <c r="E166" s="872" t="b">
        <v>0</v>
      </c>
      <c r="F166" s="663"/>
      <c r="G166" s="1086" t="s">
        <v>2328</v>
      </c>
      <c r="H166" s="1086"/>
      <c r="I166" s="1086"/>
      <c r="J166" s="1086"/>
      <c r="K166" s="1086"/>
      <c r="L166" s="1086"/>
      <c r="M166" s="1086"/>
      <c r="N166" s="1086"/>
      <c r="O166" s="1086"/>
      <c r="P166" s="1086"/>
      <c r="Q166" s="1086"/>
      <c r="R166" s="1086"/>
      <c r="S166" s="1086"/>
      <c r="T166" s="1086"/>
      <c r="U166" s="1086"/>
      <c r="V166" s="1086"/>
      <c r="W166" s="1086"/>
      <c r="X166" s="1086"/>
      <c r="Y166" s="1086"/>
      <c r="Z166" s="1086"/>
      <c r="AA166" s="1086"/>
      <c r="AB166" s="1086"/>
      <c r="AC166" s="1086"/>
      <c r="AD166" s="1086"/>
      <c r="AE166" s="1086"/>
      <c r="AF166" s="1086"/>
      <c r="AG166" s="1086"/>
      <c r="AH166" s="1086"/>
      <c r="AI166" s="1086"/>
      <c r="AJ166" s="1086"/>
      <c r="AK166" s="1087"/>
      <c r="AL166" s="93"/>
      <c r="AM166" s="673" t="b">
        <v>0</v>
      </c>
    </row>
    <row r="167" spans="1:51" s="94" customFormat="1" ht="21" customHeight="1">
      <c r="A167" s="93"/>
      <c r="B167" s="864" t="s">
        <v>2333</v>
      </c>
      <c r="C167" s="865"/>
      <c r="D167" s="865"/>
      <c r="E167" s="866"/>
      <c r="F167" s="667"/>
      <c r="G167" s="845" t="s">
        <v>2329</v>
      </c>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668"/>
      <c r="AL167" s="93"/>
      <c r="AM167" s="673" t="b">
        <v>0</v>
      </c>
    </row>
    <row r="168" spans="1:51" s="94" customFormat="1" ht="13.5" customHeight="1">
      <c r="A168" s="93"/>
      <c r="B168" s="867"/>
      <c r="C168" s="868"/>
      <c r="D168" s="868"/>
      <c r="E168" s="869"/>
      <c r="F168" s="663"/>
      <c r="G168" s="843" t="s">
        <v>110</v>
      </c>
      <c r="H168" s="843"/>
      <c r="I168" s="843"/>
      <c r="J168" s="843"/>
      <c r="K168" s="843"/>
      <c r="L168" s="843"/>
      <c r="M168" s="843"/>
      <c r="N168" s="843"/>
      <c r="O168" s="843"/>
      <c r="P168" s="843"/>
      <c r="Q168" s="843"/>
      <c r="R168" s="843"/>
      <c r="S168" s="843"/>
      <c r="T168" s="843"/>
      <c r="U168" s="843"/>
      <c r="V168" s="843"/>
      <c r="W168" s="843"/>
      <c r="X168" s="843"/>
      <c r="Y168" s="843"/>
      <c r="Z168" s="843"/>
      <c r="AA168" s="843"/>
      <c r="AB168" s="843"/>
      <c r="AC168" s="843"/>
      <c r="AD168" s="843"/>
      <c r="AE168" s="843"/>
      <c r="AF168" s="843"/>
      <c r="AG168" s="843"/>
      <c r="AH168" s="843"/>
      <c r="AI168" s="843"/>
      <c r="AJ168" s="843"/>
      <c r="AK168" s="668"/>
      <c r="AL168" s="84"/>
      <c r="AM168" s="673" t="b">
        <v>0</v>
      </c>
      <c r="AN168" s="761"/>
      <c r="AO168" s="761"/>
      <c r="AP168" s="761"/>
      <c r="AQ168" s="761"/>
      <c r="AR168" s="761"/>
      <c r="AS168" s="761"/>
      <c r="AT168" s="761"/>
      <c r="AU168" s="761"/>
      <c r="AV168" s="761"/>
      <c r="AW168" s="761"/>
      <c r="AX168" s="761"/>
      <c r="AY168" s="761"/>
    </row>
    <row r="169" spans="1:51" s="94" customFormat="1" ht="13.5" customHeight="1">
      <c r="A169" s="93"/>
      <c r="B169" s="867"/>
      <c r="C169" s="868"/>
      <c r="D169" s="868"/>
      <c r="E169" s="869" t="b">
        <v>1</v>
      </c>
      <c r="F169" s="663"/>
      <c r="G169" s="843" t="s">
        <v>103</v>
      </c>
      <c r="H169" s="843"/>
      <c r="I169" s="843"/>
      <c r="J169" s="843"/>
      <c r="K169" s="843"/>
      <c r="L169" s="843"/>
      <c r="M169" s="843"/>
      <c r="N169" s="843"/>
      <c r="O169" s="843"/>
      <c r="P169" s="843"/>
      <c r="Q169" s="843"/>
      <c r="R169" s="843"/>
      <c r="S169" s="843"/>
      <c r="T169" s="843"/>
      <c r="U169" s="843"/>
      <c r="V169" s="843"/>
      <c r="W169" s="843"/>
      <c r="X169" s="843"/>
      <c r="Y169" s="843"/>
      <c r="Z169" s="843"/>
      <c r="AA169" s="843"/>
      <c r="AB169" s="843"/>
      <c r="AC169" s="843"/>
      <c r="AD169" s="843"/>
      <c r="AE169" s="843"/>
      <c r="AF169" s="843"/>
      <c r="AG169" s="843"/>
      <c r="AH169" s="843"/>
      <c r="AI169" s="843"/>
      <c r="AJ169" s="843"/>
      <c r="AK169" s="671"/>
      <c r="AL169" s="93"/>
      <c r="AM169" s="673" t="b">
        <v>0</v>
      </c>
      <c r="AN169" s="761"/>
      <c r="AO169" s="761"/>
      <c r="AP169" s="761"/>
      <c r="AQ169" s="761"/>
      <c r="AR169" s="761"/>
      <c r="AS169" s="761"/>
      <c r="AT169" s="761"/>
      <c r="AU169" s="761"/>
      <c r="AV169" s="761"/>
      <c r="AW169" s="761"/>
      <c r="AX169" s="761"/>
      <c r="AY169" s="761"/>
    </row>
    <row r="170" spans="1:51" s="94" customFormat="1" ht="13.5" customHeight="1">
      <c r="A170" s="93"/>
      <c r="B170" s="870"/>
      <c r="C170" s="871"/>
      <c r="D170" s="871"/>
      <c r="E170" s="872"/>
      <c r="F170" s="669"/>
      <c r="G170" s="813" t="s">
        <v>104</v>
      </c>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813"/>
      <c r="AK170" s="814"/>
      <c r="AL170" s="93"/>
      <c r="AM170" s="673" t="b">
        <v>0</v>
      </c>
    </row>
    <row r="171" spans="1:51" s="94" customFormat="1" ht="13.5" customHeight="1">
      <c r="A171" s="93"/>
      <c r="B171" s="864" t="s">
        <v>2334</v>
      </c>
      <c r="C171" s="865"/>
      <c r="D171" s="865"/>
      <c r="E171" s="866"/>
      <c r="F171" s="285"/>
      <c r="G171" s="815" t="s">
        <v>105</v>
      </c>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668"/>
      <c r="AL171" s="93"/>
      <c r="AM171" s="673" t="b">
        <v>0</v>
      </c>
    </row>
    <row r="172" spans="1:51" s="94" customFormat="1" ht="21" customHeight="1">
      <c r="A172" s="93"/>
      <c r="B172" s="867"/>
      <c r="C172" s="868"/>
      <c r="D172" s="868"/>
      <c r="E172" s="869" t="b">
        <v>1</v>
      </c>
      <c r="F172" s="663"/>
      <c r="G172" s="843" t="s">
        <v>106</v>
      </c>
      <c r="H172" s="843"/>
      <c r="I172" s="843"/>
      <c r="J172" s="843"/>
      <c r="K172" s="843"/>
      <c r="L172" s="843"/>
      <c r="M172" s="843"/>
      <c r="N172" s="843"/>
      <c r="O172" s="843"/>
      <c r="P172" s="843"/>
      <c r="Q172" s="843"/>
      <c r="R172" s="843"/>
      <c r="S172" s="843"/>
      <c r="T172" s="843"/>
      <c r="U172" s="843"/>
      <c r="V172" s="843"/>
      <c r="W172" s="843"/>
      <c r="X172" s="843"/>
      <c r="Y172" s="843"/>
      <c r="Z172" s="843"/>
      <c r="AA172" s="843"/>
      <c r="AB172" s="843"/>
      <c r="AC172" s="843"/>
      <c r="AD172" s="843"/>
      <c r="AE172" s="843"/>
      <c r="AF172" s="843"/>
      <c r="AG172" s="843"/>
      <c r="AH172" s="843"/>
      <c r="AI172" s="843"/>
      <c r="AJ172" s="843"/>
      <c r="AK172" s="664"/>
      <c r="AL172" s="93"/>
      <c r="AM172" s="673" t="b">
        <v>0</v>
      </c>
      <c r="AN172" s="761"/>
      <c r="AO172" s="761"/>
      <c r="AP172" s="761"/>
      <c r="AQ172" s="761"/>
      <c r="AR172" s="761"/>
      <c r="AS172" s="761"/>
      <c r="AT172" s="761"/>
      <c r="AU172" s="761"/>
      <c r="AV172" s="761"/>
      <c r="AW172" s="761"/>
      <c r="AX172" s="761"/>
      <c r="AY172" s="761"/>
    </row>
    <row r="173" spans="1:51" s="94" customFormat="1" ht="13.5" customHeight="1">
      <c r="A173" s="93"/>
      <c r="B173" s="867"/>
      <c r="C173" s="868"/>
      <c r="D173" s="868"/>
      <c r="E173" s="869"/>
      <c r="F173" s="663"/>
      <c r="G173" s="843" t="s">
        <v>107</v>
      </c>
      <c r="H173" s="843"/>
      <c r="I173" s="843"/>
      <c r="J173" s="843"/>
      <c r="K173" s="843"/>
      <c r="L173" s="843"/>
      <c r="M173" s="843"/>
      <c r="N173" s="843"/>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664"/>
      <c r="AL173" s="93"/>
      <c r="AM173" s="673" t="b">
        <v>0</v>
      </c>
      <c r="AN173" s="761"/>
      <c r="AO173" s="761"/>
      <c r="AP173" s="761"/>
      <c r="AQ173" s="761"/>
      <c r="AR173" s="761"/>
      <c r="AS173" s="761"/>
      <c r="AT173" s="761"/>
      <c r="AU173" s="761"/>
      <c r="AV173" s="761"/>
      <c r="AW173" s="761"/>
      <c r="AX173" s="761"/>
      <c r="AY173" s="761"/>
    </row>
    <row r="174" spans="1:51" s="94" customFormat="1" ht="13.5" customHeight="1">
      <c r="A174" s="93"/>
      <c r="B174" s="870"/>
      <c r="C174" s="871"/>
      <c r="D174" s="871"/>
      <c r="E174" s="872" t="b">
        <v>1</v>
      </c>
      <c r="F174" s="669"/>
      <c r="G174" s="813" t="s">
        <v>108</v>
      </c>
      <c r="H174" s="813"/>
      <c r="I174" s="813"/>
      <c r="J174" s="813"/>
      <c r="K174" s="813"/>
      <c r="L174" s="813"/>
      <c r="M174" s="813"/>
      <c r="N174" s="813"/>
      <c r="O174" s="813"/>
      <c r="P174" s="813"/>
      <c r="Q174" s="813"/>
      <c r="R174" s="813"/>
      <c r="S174" s="813"/>
      <c r="T174" s="813"/>
      <c r="U174" s="813"/>
      <c r="V174" s="813"/>
      <c r="W174" s="813"/>
      <c r="X174" s="813"/>
      <c r="Y174" s="813"/>
      <c r="Z174" s="813"/>
      <c r="AA174" s="813"/>
      <c r="AB174" s="813"/>
      <c r="AC174" s="813"/>
      <c r="AD174" s="813"/>
      <c r="AE174" s="813"/>
      <c r="AF174" s="813"/>
      <c r="AG174" s="813"/>
      <c r="AH174" s="813"/>
      <c r="AI174" s="813"/>
      <c r="AJ174" s="813"/>
      <c r="AK174" s="670"/>
      <c r="AL174" s="93"/>
      <c r="AM174" s="673" t="b">
        <v>0</v>
      </c>
    </row>
    <row r="175" spans="1:51" s="94" customFormat="1" ht="13.5" customHeight="1">
      <c r="A175" s="93"/>
      <c r="B175" s="864" t="s">
        <v>2335</v>
      </c>
      <c r="C175" s="865"/>
      <c r="D175" s="865"/>
      <c r="E175" s="866"/>
      <c r="F175" s="285"/>
      <c r="G175" s="815" t="s">
        <v>2353</v>
      </c>
      <c r="H175" s="815"/>
      <c r="I175" s="815"/>
      <c r="J175" s="815"/>
      <c r="K175" s="815"/>
      <c r="L175" s="815"/>
      <c r="M175" s="815"/>
      <c r="N175" s="815"/>
      <c r="O175" s="815"/>
      <c r="P175" s="815"/>
      <c r="Q175" s="815"/>
      <c r="R175" s="815"/>
      <c r="S175" s="815"/>
      <c r="T175" s="815"/>
      <c r="U175" s="815"/>
      <c r="V175" s="815"/>
      <c r="W175" s="815"/>
      <c r="X175" s="815"/>
      <c r="Y175" s="815"/>
      <c r="Z175" s="815"/>
      <c r="AA175" s="815"/>
      <c r="AB175" s="815"/>
      <c r="AC175" s="815"/>
      <c r="AD175" s="815"/>
      <c r="AE175" s="815"/>
      <c r="AF175" s="815"/>
      <c r="AG175" s="815"/>
      <c r="AH175" s="815"/>
      <c r="AI175" s="815"/>
      <c r="AJ175" s="815"/>
      <c r="AK175" s="816"/>
      <c r="AL175" s="286"/>
      <c r="AM175" s="673" t="b">
        <v>0</v>
      </c>
      <c r="AN175"/>
      <c r="AO175"/>
      <c r="AP175"/>
    </row>
    <row r="176" spans="1:51" ht="13.5" customHeight="1">
      <c r="A176" s="84"/>
      <c r="B176" s="867"/>
      <c r="C176" s="868"/>
      <c r="D176" s="868"/>
      <c r="E176" s="869"/>
      <c r="F176" s="663"/>
      <c r="G176" s="843" t="s">
        <v>111</v>
      </c>
      <c r="H176" s="843"/>
      <c r="I176" s="843"/>
      <c r="J176" s="843"/>
      <c r="K176" s="843"/>
      <c r="L176" s="843"/>
      <c r="M176" s="843"/>
      <c r="N176" s="843"/>
      <c r="O176" s="843"/>
      <c r="P176" s="843"/>
      <c r="Q176" s="843"/>
      <c r="R176" s="843"/>
      <c r="S176" s="843"/>
      <c r="T176" s="843"/>
      <c r="U176" s="843"/>
      <c r="V176" s="843"/>
      <c r="W176" s="843"/>
      <c r="X176" s="843"/>
      <c r="Y176" s="843"/>
      <c r="Z176" s="843"/>
      <c r="AA176" s="843"/>
      <c r="AB176" s="843"/>
      <c r="AC176" s="843"/>
      <c r="AD176" s="843"/>
      <c r="AE176" s="843"/>
      <c r="AF176" s="843"/>
      <c r="AG176" s="843"/>
      <c r="AH176" s="843"/>
      <c r="AI176" s="843"/>
      <c r="AJ176" s="843"/>
      <c r="AK176" s="664"/>
      <c r="AL176" s="93"/>
      <c r="AM176" s="673" t="b">
        <v>0</v>
      </c>
      <c r="AN176" s="761"/>
      <c r="AO176" s="761"/>
      <c r="AP176" s="761"/>
      <c r="AQ176" s="761"/>
      <c r="AR176" s="761"/>
      <c r="AS176" s="761"/>
      <c r="AT176" s="761"/>
      <c r="AU176" s="761"/>
      <c r="AV176" s="761"/>
      <c r="AW176" s="761"/>
      <c r="AX176" s="761"/>
      <c r="AY176" s="761"/>
    </row>
    <row r="177" spans="1:55" ht="13.5" customHeight="1">
      <c r="A177" s="84"/>
      <c r="B177" s="867"/>
      <c r="C177" s="868"/>
      <c r="D177" s="868"/>
      <c r="E177" s="869"/>
      <c r="F177" s="663"/>
      <c r="G177" s="843" t="s">
        <v>2354</v>
      </c>
      <c r="H177" s="843"/>
      <c r="I177" s="843"/>
      <c r="J177" s="843"/>
      <c r="K177" s="843"/>
      <c r="L177" s="843"/>
      <c r="M177" s="843"/>
      <c r="N177" s="843"/>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3"/>
      <c r="AK177" s="664"/>
      <c r="AL177" s="93"/>
      <c r="AM177" s="673" t="b">
        <v>0</v>
      </c>
      <c r="AN177" s="761"/>
      <c r="AO177" s="761"/>
      <c r="AP177" s="761"/>
      <c r="AQ177" s="761"/>
      <c r="AR177" s="761"/>
      <c r="AS177" s="761"/>
      <c r="AT177" s="761"/>
      <c r="AU177" s="761"/>
      <c r="AV177" s="761"/>
      <c r="AW177" s="761"/>
      <c r="AX177" s="761"/>
      <c r="AY177" s="761"/>
    </row>
    <row r="178" spans="1:55" ht="13.5" customHeight="1" thickBot="1">
      <c r="A178" s="84"/>
      <c r="B178" s="870"/>
      <c r="C178" s="871"/>
      <c r="D178" s="871"/>
      <c r="E178" s="872" t="b">
        <v>1</v>
      </c>
      <c r="F178" s="287"/>
      <c r="G178" s="863" t="s">
        <v>2349</v>
      </c>
      <c r="H178" s="863"/>
      <c r="I178" s="863"/>
      <c r="J178" s="863"/>
      <c r="K178" s="863"/>
      <c r="L178" s="863"/>
      <c r="M178" s="863"/>
      <c r="N178" s="863"/>
      <c r="O178" s="863"/>
      <c r="P178" s="863"/>
      <c r="Q178" s="863"/>
      <c r="R178" s="863"/>
      <c r="S178" s="863"/>
      <c r="T178" s="863"/>
      <c r="U178" s="863"/>
      <c r="V178" s="863"/>
      <c r="W178" s="863"/>
      <c r="X178" s="863"/>
      <c r="Y178" s="863"/>
      <c r="Z178" s="863"/>
      <c r="AA178" s="863"/>
      <c r="AB178" s="863"/>
      <c r="AC178" s="863"/>
      <c r="AD178" s="863"/>
      <c r="AE178" s="863"/>
      <c r="AF178" s="863"/>
      <c r="AG178" s="863"/>
      <c r="AH178" s="863"/>
      <c r="AI178" s="863"/>
      <c r="AJ178" s="863"/>
      <c r="AK178" s="672"/>
      <c r="AL178" s="84"/>
      <c r="AM178" s="82" t="b">
        <v>0</v>
      </c>
    </row>
    <row r="179" spans="1:55" ht="6.75" customHeight="1">
      <c r="A179" s="84"/>
      <c r="B179" s="288"/>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c r="AK179" s="288"/>
      <c r="AL179" s="84"/>
      <c r="AM179" s="289"/>
      <c r="AO179" s="289"/>
      <c r="AP179" s="289"/>
      <c r="AQ179" s="289"/>
      <c r="AR179" s="289"/>
      <c r="AS179" s="289"/>
      <c r="AT179" s="289"/>
      <c r="AU179" s="289"/>
      <c r="AV179" s="289"/>
      <c r="AW179" s="289"/>
      <c r="AX179" s="289"/>
      <c r="AY179" s="289"/>
      <c r="AZ179" s="289"/>
      <c r="BB179" s="289"/>
      <c r="BC179" s="289"/>
    </row>
    <row r="180" spans="1:55" s="291" customFormat="1" ht="16.5" customHeight="1" thickBot="1">
      <c r="A180" s="290"/>
      <c r="B180" s="855" t="s">
        <v>1990</v>
      </c>
      <c r="C180" s="855"/>
      <c r="D180" s="855"/>
      <c r="E180" s="855" t="b">
        <v>1</v>
      </c>
      <c r="F180" s="855"/>
      <c r="G180" s="855"/>
      <c r="H180" s="855"/>
      <c r="I180" s="855"/>
      <c r="J180" s="855"/>
      <c r="K180" s="855"/>
      <c r="L180" s="855"/>
      <c r="M180" s="855"/>
      <c r="N180" s="855"/>
      <c r="O180" s="855"/>
      <c r="P180" s="855"/>
      <c r="Q180" s="855"/>
      <c r="R180" s="855"/>
      <c r="S180" s="855"/>
      <c r="T180" s="855"/>
      <c r="U180" s="855"/>
      <c r="V180" s="855"/>
      <c r="W180" s="855"/>
      <c r="X180" s="855"/>
      <c r="Y180" s="855"/>
      <c r="Z180" s="855"/>
      <c r="AA180" s="855"/>
      <c r="AB180" s="855"/>
      <c r="AC180" s="855"/>
      <c r="AD180" s="855"/>
      <c r="AE180" s="855"/>
      <c r="AF180" s="855"/>
      <c r="AG180" s="855"/>
      <c r="AH180" s="855"/>
      <c r="AI180" s="855"/>
      <c r="AJ180" s="855"/>
      <c r="AK180" s="855"/>
      <c r="AL180" s="194"/>
      <c r="AN180" s="292"/>
    </row>
    <row r="181" spans="1:55" s="289" customFormat="1" ht="15.75" customHeight="1" thickBot="1">
      <c r="A181" s="286"/>
      <c r="B181" s="293" t="s">
        <v>41</v>
      </c>
      <c r="C181" s="138"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2" t="str">
        <f>IF(AI147="該当","",IF(OR(AM182=TRUE,AM183=TRUE),"○","×"))</f>
        <v/>
      </c>
      <c r="AL181" s="84"/>
    </row>
    <row r="182" spans="1:55" s="289" customFormat="1" ht="25.5" customHeight="1">
      <c r="A182" s="286"/>
      <c r="B182" s="1080" t="s">
        <v>18</v>
      </c>
      <c r="C182" s="1081"/>
      <c r="D182" s="1081"/>
      <c r="E182" s="1082" t="b">
        <v>0</v>
      </c>
      <c r="F182" s="284"/>
      <c r="G182" s="1076" t="s">
        <v>2347</v>
      </c>
      <c r="H182" s="1076"/>
      <c r="I182" s="1076"/>
      <c r="J182" s="1076"/>
      <c r="K182" s="1076"/>
      <c r="L182" s="1076"/>
      <c r="M182" s="1076"/>
      <c r="N182" s="1076"/>
      <c r="O182" s="1076"/>
      <c r="P182" s="1076"/>
      <c r="Q182" s="1076"/>
      <c r="R182" s="1076"/>
      <c r="S182" s="1076"/>
      <c r="T182" s="1076"/>
      <c r="U182" s="1076"/>
      <c r="V182" s="1076"/>
      <c r="W182" s="1076"/>
      <c r="X182" s="1076"/>
      <c r="Y182" s="1076"/>
      <c r="Z182" s="1076"/>
      <c r="AA182" s="1076"/>
      <c r="AB182" s="1076"/>
      <c r="AC182" s="1076"/>
      <c r="AD182" s="1076"/>
      <c r="AE182" s="1076"/>
      <c r="AF182" s="1076"/>
      <c r="AG182" s="1076"/>
      <c r="AH182" s="1076"/>
      <c r="AI182" s="1076"/>
      <c r="AJ182" s="1076"/>
      <c r="AK182" s="1077"/>
      <c r="AL182" s="93"/>
      <c r="AM182" s="82" t="b">
        <v>0</v>
      </c>
      <c r="AN182" s="762" t="s">
        <v>2093</v>
      </c>
      <c r="AO182" s="763"/>
      <c r="AP182" s="763"/>
      <c r="AQ182" s="763"/>
      <c r="AR182" s="763"/>
      <c r="AS182" s="763"/>
      <c r="AT182" s="763"/>
      <c r="AU182" s="763"/>
      <c r="AV182" s="763"/>
      <c r="AW182" s="763"/>
      <c r="AX182" s="763"/>
      <c r="AY182" s="764"/>
    </row>
    <row r="183" spans="1:55" s="289" customFormat="1" ht="20.25" customHeight="1" thickBot="1">
      <c r="A183" s="286"/>
      <c r="B183" s="1083"/>
      <c r="C183" s="1084"/>
      <c r="D183" s="1084"/>
      <c r="E183" s="1085" t="b">
        <v>1</v>
      </c>
      <c r="F183" s="287"/>
      <c r="G183" s="1078" t="s">
        <v>2348</v>
      </c>
      <c r="H183" s="1078"/>
      <c r="I183" s="1078"/>
      <c r="J183" s="1078"/>
      <c r="K183" s="1078"/>
      <c r="L183" s="1078"/>
      <c r="M183" s="1078"/>
      <c r="N183" s="1078"/>
      <c r="O183" s="1078"/>
      <c r="P183" s="1078"/>
      <c r="Q183" s="1078"/>
      <c r="R183" s="1078"/>
      <c r="S183" s="1078"/>
      <c r="T183" s="1078"/>
      <c r="U183" s="1078"/>
      <c r="V183" s="1078"/>
      <c r="W183" s="1078"/>
      <c r="X183" s="1078"/>
      <c r="Y183" s="1078"/>
      <c r="Z183" s="1078"/>
      <c r="AA183" s="1078"/>
      <c r="AB183" s="1078"/>
      <c r="AC183" s="1078"/>
      <c r="AD183" s="1078"/>
      <c r="AE183" s="1078"/>
      <c r="AF183" s="1078"/>
      <c r="AG183" s="1078"/>
      <c r="AH183" s="1078"/>
      <c r="AI183" s="1078"/>
      <c r="AJ183" s="1078"/>
      <c r="AK183" s="1079"/>
      <c r="AL183" s="84"/>
      <c r="AM183" s="82" t="b">
        <v>0</v>
      </c>
      <c r="AN183" s="765"/>
      <c r="AO183" s="766"/>
      <c r="AP183" s="766"/>
      <c r="AQ183" s="766"/>
      <c r="AR183" s="766"/>
      <c r="AS183" s="766"/>
      <c r="AT183" s="766"/>
      <c r="AU183" s="766"/>
      <c r="AV183" s="766"/>
      <c r="AW183" s="766"/>
      <c r="AX183" s="766"/>
      <c r="AY183" s="767"/>
    </row>
    <row r="184" spans="1:55" s="94" customFormat="1" ht="4.5" customHeight="1">
      <c r="A184" s="93"/>
      <c r="B184" s="294"/>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row>
    <row r="185" spans="1:55" ht="16.5" customHeight="1">
      <c r="A185" s="84"/>
      <c r="B185" s="91" t="s">
        <v>1984</v>
      </c>
      <c r="C185" s="91"/>
      <c r="D185" s="91"/>
      <c r="E185" s="91"/>
      <c r="F185" s="91"/>
      <c r="G185" s="91"/>
      <c r="H185" s="91"/>
      <c r="I185" s="91"/>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84"/>
    </row>
    <row r="186" spans="1:55" s="94" customFormat="1" ht="15" thickBot="1">
      <c r="A186" s="93"/>
      <c r="B186" s="142" t="s">
        <v>41</v>
      </c>
      <c r="C186" s="138" t="s">
        <v>160</v>
      </c>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c r="AG186" s="295"/>
      <c r="AH186" s="295"/>
      <c r="AI186" s="295"/>
      <c r="AJ186" s="295"/>
      <c r="AK186" s="84"/>
      <c r="AL186" s="84"/>
      <c r="AN186" s="292"/>
    </row>
    <row r="187" spans="1:55" s="94" customFormat="1" ht="40.5" customHeight="1" thickBot="1">
      <c r="A187" s="93"/>
      <c r="B187" s="1161" t="s">
        <v>2077</v>
      </c>
      <c r="C187" s="1162"/>
      <c r="D187" s="1162"/>
      <c r="E187" s="1162" t="b">
        <v>1</v>
      </c>
      <c r="F187" s="1162"/>
      <c r="G187" s="1162"/>
      <c r="H187" s="1162"/>
      <c r="I187" s="1162"/>
      <c r="J187" s="1162"/>
      <c r="K187" s="1162"/>
      <c r="L187" s="1162"/>
      <c r="M187" s="1162"/>
      <c r="N187" s="1162"/>
      <c r="O187" s="1162"/>
      <c r="P187" s="1162"/>
      <c r="Q187" s="1162"/>
      <c r="R187" s="1162"/>
      <c r="S187" s="1162"/>
      <c r="T187" s="1162"/>
      <c r="U187" s="1162"/>
      <c r="V187" s="1162"/>
      <c r="W187" s="1162"/>
      <c r="X187" s="1162"/>
      <c r="Y187" s="1162"/>
      <c r="Z187" s="1162"/>
      <c r="AA187" s="1162"/>
      <c r="AB187" s="1162"/>
      <c r="AC187" s="1162"/>
      <c r="AD187" s="1163"/>
      <c r="AE187" s="787" t="s">
        <v>2081</v>
      </c>
      <c r="AF187" s="788"/>
      <c r="AG187" s="788"/>
      <c r="AH187" s="788"/>
      <c r="AI187" s="788"/>
      <c r="AJ187" s="789"/>
      <c r="AK187" s="282" t="str">
        <f>IF(AND(AM188=TRUE,OR(Q20=0,AM189=TRUE),AM190=TRUE,AM191=TRUE,AM192=TRUE,AM193=TRUE),"○","×")</f>
        <v>×</v>
      </c>
      <c r="AL187" s="84"/>
      <c r="AM187" s="829" t="s">
        <v>2101</v>
      </c>
      <c r="AN187" s="830"/>
      <c r="AO187" s="830"/>
      <c r="AP187" s="830"/>
      <c r="AQ187" s="830"/>
      <c r="AR187" s="830"/>
      <c r="AS187" s="830"/>
      <c r="AT187" s="830"/>
      <c r="AU187" s="830"/>
      <c r="AV187" s="830"/>
      <c r="AW187" s="830"/>
      <c r="AX187" s="830"/>
      <c r="AY187" s="831"/>
    </row>
    <row r="188" spans="1:55" s="94" customFormat="1" ht="26.25" customHeight="1">
      <c r="A188" s="93"/>
      <c r="B188" s="284"/>
      <c r="C188" s="1076" t="s">
        <v>2080</v>
      </c>
      <c r="D188" s="1076"/>
      <c r="E188" s="1076"/>
      <c r="F188" s="1076"/>
      <c r="G188" s="1076"/>
      <c r="H188" s="1076"/>
      <c r="I188" s="1076"/>
      <c r="J188" s="1076"/>
      <c r="K188" s="1076"/>
      <c r="L188" s="1076"/>
      <c r="M188" s="1076"/>
      <c r="N188" s="1076"/>
      <c r="O188" s="1076"/>
      <c r="P188" s="1076"/>
      <c r="Q188" s="1076"/>
      <c r="R188" s="1076"/>
      <c r="S188" s="1076"/>
      <c r="T188" s="1076"/>
      <c r="U188" s="1076"/>
      <c r="V188" s="1076"/>
      <c r="W188" s="1076"/>
      <c r="X188" s="1076"/>
      <c r="Y188" s="1076"/>
      <c r="Z188" s="1076"/>
      <c r="AA188" s="1076"/>
      <c r="AB188" s="1076"/>
      <c r="AC188" s="1076"/>
      <c r="AD188" s="1160"/>
      <c r="AE188" s="790" t="s">
        <v>2082</v>
      </c>
      <c r="AF188" s="791"/>
      <c r="AG188" s="791"/>
      <c r="AH188" s="791"/>
      <c r="AI188" s="791"/>
      <c r="AJ188" s="791"/>
      <c r="AK188" s="792"/>
      <c r="AL188" s="84"/>
      <c r="AM188" s="83" t="b">
        <v>0</v>
      </c>
      <c r="AN188" s="228"/>
      <c r="AO188" s="228"/>
      <c r="AP188" s="228"/>
      <c r="AQ188" s="228"/>
      <c r="AR188" s="228"/>
      <c r="AS188" s="228"/>
      <c r="AT188" s="228"/>
      <c r="AU188" s="228"/>
      <c r="AV188" s="228"/>
    </row>
    <row r="189" spans="1:55" s="94" customFormat="1" ht="35.25" customHeight="1">
      <c r="A189" s="93"/>
      <c r="B189" s="285"/>
      <c r="C189" s="1158" t="s">
        <v>2343</v>
      </c>
      <c r="D189" s="1158"/>
      <c r="E189" s="1158" t="b">
        <v>0</v>
      </c>
      <c r="F189" s="1158"/>
      <c r="G189" s="1158"/>
      <c r="H189" s="1158"/>
      <c r="I189" s="1158"/>
      <c r="J189" s="1158"/>
      <c r="K189" s="1158"/>
      <c r="L189" s="1158"/>
      <c r="M189" s="1158"/>
      <c r="N189" s="1158"/>
      <c r="O189" s="1158"/>
      <c r="P189" s="1158"/>
      <c r="Q189" s="1158"/>
      <c r="R189" s="1158"/>
      <c r="S189" s="1158"/>
      <c r="T189" s="1158"/>
      <c r="U189" s="1158"/>
      <c r="V189" s="1158"/>
      <c r="W189" s="1158"/>
      <c r="X189" s="1158"/>
      <c r="Y189" s="1158"/>
      <c r="Z189" s="1158"/>
      <c r="AA189" s="1158"/>
      <c r="AB189" s="1158"/>
      <c r="AC189" s="1158"/>
      <c r="AD189" s="1159"/>
      <c r="AE189" s="793" t="s">
        <v>2082</v>
      </c>
      <c r="AF189" s="794"/>
      <c r="AG189" s="794"/>
      <c r="AH189" s="794"/>
      <c r="AI189" s="794"/>
      <c r="AJ189" s="794"/>
      <c r="AK189" s="795"/>
      <c r="AL189" s="84"/>
      <c r="AM189" s="82" t="b">
        <v>0</v>
      </c>
      <c r="AN189" s="228"/>
      <c r="AO189" s="228"/>
      <c r="AP189" s="228"/>
      <c r="AQ189" s="228"/>
      <c r="AR189" s="228"/>
      <c r="AS189" s="228"/>
      <c r="AT189" s="228"/>
      <c r="AU189" s="228"/>
      <c r="AV189" s="228"/>
    </row>
    <row r="190" spans="1:55" s="94" customFormat="1" ht="37.5" customHeight="1">
      <c r="A190" s="93"/>
      <c r="B190" s="285"/>
      <c r="C190" s="1074" t="s">
        <v>2084</v>
      </c>
      <c r="D190" s="1074"/>
      <c r="E190" s="1074"/>
      <c r="F190" s="1074"/>
      <c r="G190" s="1074"/>
      <c r="H190" s="1074"/>
      <c r="I190" s="1074"/>
      <c r="J190" s="1074"/>
      <c r="K190" s="1074"/>
      <c r="L190" s="1074"/>
      <c r="M190" s="1074"/>
      <c r="N190" s="1074"/>
      <c r="O190" s="1074"/>
      <c r="P190" s="1074"/>
      <c r="Q190" s="1074"/>
      <c r="R190" s="1074"/>
      <c r="S190" s="1074"/>
      <c r="T190" s="1074"/>
      <c r="U190" s="1074"/>
      <c r="V190" s="1074"/>
      <c r="W190" s="1074"/>
      <c r="X190" s="1074"/>
      <c r="Y190" s="1074"/>
      <c r="Z190" s="1074"/>
      <c r="AA190" s="1074"/>
      <c r="AB190" s="1074"/>
      <c r="AC190" s="1074"/>
      <c r="AD190" s="1075"/>
      <c r="AE190" s="793" t="s">
        <v>2083</v>
      </c>
      <c r="AF190" s="794"/>
      <c r="AG190" s="794"/>
      <c r="AH190" s="794"/>
      <c r="AI190" s="794"/>
      <c r="AJ190" s="794"/>
      <c r="AK190" s="795"/>
      <c r="AL190" s="84"/>
      <c r="AM190" s="82" t="b">
        <v>0</v>
      </c>
      <c r="AN190" s="228"/>
      <c r="AO190" s="228"/>
      <c r="AP190" s="228"/>
      <c r="AQ190" s="228"/>
      <c r="AR190" s="228"/>
      <c r="AS190" s="228"/>
      <c r="AT190" s="228"/>
      <c r="AU190" s="228"/>
      <c r="AV190" s="228"/>
    </row>
    <row r="191" spans="1:55" s="94" customFormat="1" ht="23.25" customHeight="1">
      <c r="A191" s="93"/>
      <c r="B191" s="285"/>
      <c r="C191" s="1074" t="s">
        <v>69</v>
      </c>
      <c r="D191" s="1074"/>
      <c r="E191" s="1074"/>
      <c r="F191" s="1074"/>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5"/>
      <c r="AE191" s="1177" t="s">
        <v>71</v>
      </c>
      <c r="AF191" s="1178"/>
      <c r="AG191" s="1178"/>
      <c r="AH191" s="1178"/>
      <c r="AI191" s="1178"/>
      <c r="AJ191" s="1178"/>
      <c r="AK191" s="1179"/>
      <c r="AL191" s="84"/>
      <c r="AM191" s="82" t="b">
        <v>0</v>
      </c>
    </row>
    <row r="192" spans="1:55" s="94" customFormat="1" ht="23.25" customHeight="1">
      <c r="A192" s="93"/>
      <c r="B192" s="285"/>
      <c r="C192" s="1074" t="s">
        <v>70</v>
      </c>
      <c r="D192" s="1074"/>
      <c r="E192" s="1074"/>
      <c r="F192" s="1074"/>
      <c r="G192" s="1074"/>
      <c r="H192" s="1074"/>
      <c r="I192" s="1074"/>
      <c r="J192" s="1074"/>
      <c r="K192" s="1074"/>
      <c r="L192" s="1074"/>
      <c r="M192" s="1074"/>
      <c r="N192" s="1074"/>
      <c r="O192" s="1074"/>
      <c r="P192" s="1074"/>
      <c r="Q192" s="1074"/>
      <c r="R192" s="1074"/>
      <c r="S192" s="1074"/>
      <c r="T192" s="1074"/>
      <c r="U192" s="1074"/>
      <c r="V192" s="1074"/>
      <c r="W192" s="1074"/>
      <c r="X192" s="1074"/>
      <c r="Y192" s="1074"/>
      <c r="Z192" s="1074"/>
      <c r="AA192" s="1074"/>
      <c r="AB192" s="1074"/>
      <c r="AC192" s="1074"/>
      <c r="AD192" s="1075"/>
      <c r="AE192" s="793" t="s">
        <v>72</v>
      </c>
      <c r="AF192" s="794"/>
      <c r="AG192" s="794"/>
      <c r="AH192" s="794"/>
      <c r="AI192" s="794"/>
      <c r="AJ192" s="794"/>
      <c r="AK192" s="795"/>
      <c r="AL192" s="84"/>
      <c r="AM192" s="82" t="b">
        <v>0</v>
      </c>
      <c r="AN192" s="296"/>
      <c r="AO192" s="296"/>
      <c r="AP192" s="296"/>
    </row>
    <row r="193" spans="1:55" s="94" customFormat="1" ht="13.5" customHeight="1" thickBot="1">
      <c r="A193" s="93"/>
      <c r="B193" s="287"/>
      <c r="C193" s="1167" t="s">
        <v>59</v>
      </c>
      <c r="D193" s="1167"/>
      <c r="E193" s="1167"/>
      <c r="F193" s="1167"/>
      <c r="G193" s="1167"/>
      <c r="H193" s="1167"/>
      <c r="I193" s="1167"/>
      <c r="J193" s="1167"/>
      <c r="K193" s="1167"/>
      <c r="L193" s="1167"/>
      <c r="M193" s="1167"/>
      <c r="N193" s="1167"/>
      <c r="O193" s="1167"/>
      <c r="P193" s="1167"/>
      <c r="Q193" s="1167"/>
      <c r="R193" s="1167"/>
      <c r="S193" s="1167"/>
      <c r="T193" s="1167"/>
      <c r="U193" s="1167"/>
      <c r="V193" s="1167"/>
      <c r="W193" s="1167"/>
      <c r="X193" s="1167"/>
      <c r="Y193" s="1167"/>
      <c r="Z193" s="1167"/>
      <c r="AA193" s="1167"/>
      <c r="AB193" s="1167"/>
      <c r="AC193" s="1167"/>
      <c r="AD193" s="1168"/>
      <c r="AE193" s="1164" t="s">
        <v>36</v>
      </c>
      <c r="AF193" s="1165"/>
      <c r="AG193" s="1165"/>
      <c r="AH193" s="1165"/>
      <c r="AI193" s="1165"/>
      <c r="AJ193" s="1165"/>
      <c r="AK193" s="1166"/>
      <c r="AL193" s="84"/>
      <c r="AM193" s="82" t="b">
        <v>0</v>
      </c>
    </row>
    <row r="194" spans="1:55" s="94" customFormat="1" ht="5.25" customHeight="1">
      <c r="A194" s="93"/>
      <c r="B194" s="295"/>
      <c r="C194" s="138"/>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138"/>
      <c r="AA194" s="138"/>
      <c r="AB194" s="138"/>
      <c r="AC194" s="138"/>
      <c r="AD194" s="138"/>
      <c r="AE194" s="138"/>
      <c r="AF194" s="138"/>
      <c r="AG194" s="138"/>
      <c r="AH194" s="138"/>
      <c r="AI194" s="295"/>
      <c r="AJ194" s="295"/>
      <c r="AK194" s="84"/>
      <c r="AL194" s="84"/>
    </row>
    <row r="195" spans="1:55" s="94" customFormat="1" ht="12" customHeight="1">
      <c r="A195" s="93"/>
      <c r="B195" s="297" t="s">
        <v>2012</v>
      </c>
      <c r="C195" s="298" t="s">
        <v>2013</v>
      </c>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c r="AG195" s="298"/>
      <c r="AH195" s="298"/>
      <c r="AI195" s="298"/>
      <c r="AJ195" s="298"/>
      <c r="AK195" s="299"/>
      <c r="AL195" s="84"/>
    </row>
    <row r="196" spans="1:55" s="94" customFormat="1" ht="24" customHeight="1" thickBot="1">
      <c r="A196" s="93"/>
      <c r="B196" s="297" t="s">
        <v>2012</v>
      </c>
      <c r="C196" s="783" t="s">
        <v>2336</v>
      </c>
      <c r="D196" s="783"/>
      <c r="E196" s="783"/>
      <c r="F196" s="783"/>
      <c r="G196" s="783"/>
      <c r="H196" s="783"/>
      <c r="I196" s="783"/>
      <c r="J196" s="783"/>
      <c r="K196" s="783"/>
      <c r="L196" s="783"/>
      <c r="M196" s="783"/>
      <c r="N196" s="783"/>
      <c r="O196" s="783"/>
      <c r="P196" s="783"/>
      <c r="Q196" s="783"/>
      <c r="R196" s="783"/>
      <c r="S196" s="783"/>
      <c r="T196" s="783"/>
      <c r="U196" s="783"/>
      <c r="V196" s="783"/>
      <c r="W196" s="783"/>
      <c r="X196" s="783"/>
      <c r="Y196" s="783"/>
      <c r="Z196" s="783"/>
      <c r="AA196" s="783"/>
      <c r="AB196" s="783"/>
      <c r="AC196" s="783"/>
      <c r="AD196" s="783"/>
      <c r="AE196" s="783"/>
      <c r="AF196" s="783"/>
      <c r="AG196" s="783"/>
      <c r="AH196" s="783"/>
      <c r="AI196" s="783"/>
      <c r="AJ196" s="783"/>
      <c r="AK196" s="783"/>
      <c r="AL196" s="84"/>
    </row>
    <row r="197" spans="1:55" s="94" customFormat="1" ht="16.5" customHeight="1" thickBot="1">
      <c r="A197" s="93"/>
      <c r="B197" s="300"/>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82" t="str">
        <f>IF(COUNTA(E201,H201,K201,T202,AA202)=5,"○","×")</f>
        <v>×</v>
      </c>
      <c r="AL197" s="84"/>
    </row>
    <row r="198" spans="1:55" s="94" customFormat="1" ht="8.25" customHeight="1">
      <c r="A198" s="93"/>
      <c r="B198" s="301"/>
      <c r="C198" s="302"/>
      <c r="D198" s="302"/>
      <c r="E198" s="302"/>
      <c r="F198" s="302"/>
      <c r="G198" s="302"/>
      <c r="H198" s="302"/>
      <c r="I198" s="302"/>
      <c r="J198" s="302"/>
      <c r="K198" s="302"/>
      <c r="L198" s="302"/>
      <c r="M198" s="302"/>
      <c r="N198" s="302"/>
      <c r="O198" s="30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302"/>
      <c r="AK198" s="303"/>
      <c r="AL198" s="84"/>
      <c r="AM198"/>
    </row>
    <row r="199" spans="1:55" s="94" customFormat="1" ht="26.25" customHeight="1">
      <c r="A199" s="93"/>
      <c r="B199" s="304"/>
      <c r="C199" s="875" t="s">
        <v>2094</v>
      </c>
      <c r="D199" s="875"/>
      <c r="E199" s="875"/>
      <c r="F199" s="875"/>
      <c r="G199" s="875"/>
      <c r="H199" s="875"/>
      <c r="I199" s="875"/>
      <c r="J199" s="875"/>
      <c r="K199" s="875"/>
      <c r="L199" s="875"/>
      <c r="M199" s="875"/>
      <c r="N199" s="875"/>
      <c r="O199" s="875"/>
      <c r="P199" s="875"/>
      <c r="Q199" s="875"/>
      <c r="R199" s="875"/>
      <c r="S199" s="875"/>
      <c r="T199" s="875"/>
      <c r="U199" s="875"/>
      <c r="V199" s="875"/>
      <c r="W199" s="875"/>
      <c r="X199" s="875"/>
      <c r="Y199" s="875"/>
      <c r="Z199" s="875"/>
      <c r="AA199" s="875"/>
      <c r="AB199" s="875"/>
      <c r="AC199" s="875"/>
      <c r="AD199" s="875"/>
      <c r="AE199" s="875"/>
      <c r="AF199" s="875"/>
      <c r="AG199" s="875"/>
      <c r="AH199" s="875"/>
      <c r="AI199" s="875"/>
      <c r="AJ199" s="295"/>
      <c r="AK199" s="305"/>
      <c r="AL199" s="295"/>
      <c r="AM199"/>
    </row>
    <row r="200" spans="1:55" s="94" customFormat="1" ht="6.75" customHeight="1">
      <c r="A200" s="93"/>
      <c r="B200" s="304"/>
      <c r="C200" s="138"/>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c r="AG200" s="295"/>
      <c r="AH200" s="295"/>
      <c r="AI200" s="295"/>
      <c r="AJ200" s="295"/>
      <c r="AK200" s="305"/>
      <c r="AL200" s="84"/>
      <c r="AM200"/>
    </row>
    <row r="201" spans="1:55" s="94" customFormat="1" ht="15" customHeight="1">
      <c r="A201" s="93"/>
      <c r="B201" s="306"/>
      <c r="C201" s="307" t="s">
        <v>15</v>
      </c>
      <c r="D201" s="307"/>
      <c r="E201" s="777"/>
      <c r="F201" s="778"/>
      <c r="G201" s="307" t="s">
        <v>4</v>
      </c>
      <c r="H201" s="777"/>
      <c r="I201" s="778"/>
      <c r="J201" s="307" t="s">
        <v>3</v>
      </c>
      <c r="K201" s="777"/>
      <c r="L201" s="778"/>
      <c r="M201" s="307" t="s">
        <v>2</v>
      </c>
      <c r="N201" s="295"/>
      <c r="O201" s="779" t="s">
        <v>5</v>
      </c>
      <c r="P201" s="779"/>
      <c r="Q201" s="779"/>
      <c r="R201" s="768" t="str">
        <f>IF(H7="","",H7)</f>
        <v/>
      </c>
      <c r="S201" s="768"/>
      <c r="T201" s="768"/>
      <c r="U201" s="768"/>
      <c r="V201" s="768"/>
      <c r="W201" s="768"/>
      <c r="X201" s="768"/>
      <c r="Y201" s="768"/>
      <c r="Z201" s="768"/>
      <c r="AA201" s="768"/>
      <c r="AB201" s="768"/>
      <c r="AC201" s="768"/>
      <c r="AD201" s="768"/>
      <c r="AE201" s="768"/>
      <c r="AF201" s="768"/>
      <c r="AG201" s="768"/>
      <c r="AH201" s="768"/>
      <c r="AI201" s="768"/>
      <c r="AJ201" s="308"/>
      <c r="AK201" s="309"/>
      <c r="AL201" s="310"/>
      <c r="AM201" s="311"/>
      <c r="AN201"/>
      <c r="AO201"/>
      <c r="AP201"/>
      <c r="AQ201"/>
      <c r="AR201"/>
      <c r="AS201"/>
      <c r="AT201"/>
      <c r="AU201"/>
      <c r="AV201"/>
      <c r="AW201" s="121"/>
      <c r="AX201"/>
      <c r="AY201"/>
      <c r="AZ201"/>
      <c r="BA201"/>
      <c r="BB201"/>
      <c r="BC201"/>
    </row>
    <row r="202" spans="1:55" ht="15" customHeight="1">
      <c r="A202" s="84"/>
      <c r="B202" s="306"/>
      <c r="C202" s="312"/>
      <c r="D202" s="307"/>
      <c r="E202" s="307"/>
      <c r="F202" s="307"/>
      <c r="G202" s="307"/>
      <c r="H202" s="307"/>
      <c r="I202" s="307"/>
      <c r="J202" s="307"/>
      <c r="K202" s="307"/>
      <c r="L202" s="307"/>
      <c r="M202" s="307"/>
      <c r="N202" s="307"/>
      <c r="O202" s="770" t="s">
        <v>44</v>
      </c>
      <c r="P202" s="770"/>
      <c r="Q202" s="770"/>
      <c r="R202" s="781" t="s">
        <v>45</v>
      </c>
      <c r="S202" s="781"/>
      <c r="T202" s="780"/>
      <c r="U202" s="780"/>
      <c r="V202" s="780"/>
      <c r="W202" s="780"/>
      <c r="X202" s="780"/>
      <c r="Y202" s="876" t="s">
        <v>46</v>
      </c>
      <c r="Z202" s="876"/>
      <c r="AA202" s="780"/>
      <c r="AB202" s="780"/>
      <c r="AC202" s="780"/>
      <c r="AD202" s="780"/>
      <c r="AE202" s="780"/>
      <c r="AF202" s="780"/>
      <c r="AG202" s="780"/>
      <c r="AH202" s="780"/>
      <c r="AI202" s="780"/>
      <c r="AJ202" s="312"/>
      <c r="AK202" s="313"/>
      <c r="AL202" s="310"/>
      <c r="AM202" s="311"/>
      <c r="AW202" s="121"/>
    </row>
    <row r="203" spans="1:55" ht="7.5" customHeight="1" thickBot="1">
      <c r="A203" s="84"/>
      <c r="B203" s="314"/>
      <c r="C203" s="315"/>
      <c r="D203" s="316"/>
      <c r="E203" s="316"/>
      <c r="F203" s="316"/>
      <c r="G203" s="316"/>
      <c r="H203" s="316"/>
      <c r="I203" s="316"/>
      <c r="J203" s="316"/>
      <c r="K203" s="316"/>
      <c r="L203" s="316"/>
      <c r="M203" s="316"/>
      <c r="N203" s="316"/>
      <c r="O203" s="316"/>
      <c r="P203" s="316"/>
      <c r="Q203" s="315"/>
      <c r="R203" s="316"/>
      <c r="S203" s="317"/>
      <c r="T203" s="317"/>
      <c r="U203" s="317"/>
      <c r="V203" s="317"/>
      <c r="W203" s="317"/>
      <c r="X203" s="318"/>
      <c r="Y203" s="318"/>
      <c r="Z203" s="318"/>
      <c r="AA203" s="318"/>
      <c r="AB203" s="318"/>
      <c r="AC203" s="318"/>
      <c r="AD203" s="318"/>
      <c r="AE203" s="318"/>
      <c r="AF203" s="318"/>
      <c r="AG203" s="318"/>
      <c r="AH203" s="318"/>
      <c r="AI203" s="318"/>
      <c r="AJ203" s="319"/>
      <c r="AK203" s="320"/>
      <c r="AL203" s="310"/>
      <c r="AM203" s="311"/>
      <c r="AW203" s="121"/>
    </row>
    <row r="204" spans="1:55" ht="4.5" customHeight="1">
      <c r="A204" s="84"/>
      <c r="B204" s="321"/>
      <c r="C204" s="310"/>
      <c r="D204" s="321"/>
      <c r="E204" s="321"/>
      <c r="F204" s="321"/>
      <c r="G204" s="321"/>
      <c r="H204" s="321"/>
      <c r="I204" s="321"/>
      <c r="J204" s="321"/>
      <c r="K204" s="321"/>
      <c r="L204" s="321"/>
      <c r="M204" s="321"/>
      <c r="N204" s="321"/>
      <c r="O204" s="321"/>
      <c r="P204" s="321"/>
      <c r="Q204" s="310"/>
      <c r="R204" s="321"/>
      <c r="S204" s="322"/>
      <c r="T204" s="322"/>
      <c r="U204" s="322"/>
      <c r="V204" s="322"/>
      <c r="W204" s="322"/>
      <c r="X204" s="323"/>
      <c r="Y204" s="323"/>
      <c r="Z204" s="323"/>
      <c r="AA204" s="323"/>
      <c r="AB204" s="323"/>
      <c r="AC204" s="323"/>
      <c r="AD204" s="323"/>
      <c r="AE204" s="323"/>
      <c r="AF204" s="323"/>
      <c r="AG204" s="323"/>
      <c r="AH204" s="323"/>
      <c r="AI204" s="323"/>
      <c r="AJ204" s="324"/>
      <c r="AK204" s="310"/>
      <c r="AL204" s="310"/>
      <c r="AM204" s="311"/>
      <c r="AW204" s="121"/>
    </row>
    <row r="205" spans="1:55" s="94" customFormat="1" ht="15" customHeight="1">
      <c r="A205" s="93"/>
      <c r="B205" s="325" t="s">
        <v>120</v>
      </c>
      <c r="C205" s="321"/>
      <c r="D205" s="93"/>
      <c r="E205" s="93"/>
      <c r="F205" s="91"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row>
    <row r="206" spans="1:55" ht="12.75" customHeight="1">
      <c r="A206" s="84"/>
      <c r="B206" s="142" t="s">
        <v>41</v>
      </c>
      <c r="C206" s="299"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6" customFormat="1" ht="12" customHeight="1">
      <c r="A207" s="118"/>
      <c r="B207" s="142" t="s">
        <v>2012</v>
      </c>
      <c r="C207" s="299" t="s">
        <v>2014</v>
      </c>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row>
    <row r="208" spans="1:55" ht="6" customHeight="1">
      <c r="A208" s="84"/>
      <c r="B208" s="91"/>
      <c r="C208" s="321"/>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69" t="s">
        <v>1987</v>
      </c>
      <c r="C209" s="769"/>
      <c r="D209" s="769"/>
      <c r="E209" s="769"/>
      <c r="F209" s="769"/>
      <c r="G209" s="769"/>
      <c r="H209" s="769"/>
      <c r="I209" s="769"/>
      <c r="J209" s="769"/>
      <c r="K209" s="769"/>
      <c r="L209" s="769"/>
      <c r="M209" s="769"/>
      <c r="N209" s="769"/>
      <c r="O209" s="769"/>
      <c r="P209" s="769"/>
      <c r="Q209" s="769"/>
      <c r="R209" s="769"/>
      <c r="S209" s="769"/>
      <c r="T209" s="769"/>
      <c r="U209" s="769"/>
      <c r="V209" s="769"/>
      <c r="W209" s="769"/>
      <c r="X209" s="769"/>
      <c r="Y209" s="769"/>
      <c r="Z209" s="769"/>
      <c r="AA209" s="769"/>
      <c r="AB209" s="769"/>
      <c r="AC209" s="769"/>
      <c r="AD209" s="769"/>
      <c r="AE209" s="769"/>
      <c r="AF209" s="769"/>
      <c r="AG209" s="769"/>
      <c r="AH209" s="769"/>
      <c r="AI209" s="769"/>
      <c r="AJ209" s="769"/>
      <c r="AK209" s="769"/>
      <c r="AL209" s="84"/>
    </row>
    <row r="210" spans="1:56">
      <c r="A210" s="84"/>
      <c r="B210" s="784" t="s">
        <v>128</v>
      </c>
      <c r="C210" s="796" t="s">
        <v>2078</v>
      </c>
      <c r="D210" s="797"/>
      <c r="E210" s="797"/>
      <c r="F210" s="797"/>
      <c r="G210" s="797"/>
      <c r="H210" s="797"/>
      <c r="I210" s="797"/>
      <c r="J210" s="797"/>
      <c r="K210" s="797"/>
      <c r="L210" s="797"/>
      <c r="M210" s="797"/>
      <c r="N210" s="797"/>
      <c r="O210" s="797"/>
      <c r="P210" s="797"/>
      <c r="Q210" s="797"/>
      <c r="R210" s="797"/>
      <c r="S210" s="797"/>
      <c r="T210" s="797"/>
      <c r="U210" s="797"/>
      <c r="V210" s="797"/>
      <c r="W210" s="797"/>
      <c r="X210" s="797"/>
      <c r="Y210" s="797"/>
      <c r="Z210" s="797"/>
      <c r="AA210" s="797"/>
      <c r="AB210" s="797"/>
      <c r="AC210" s="797"/>
      <c r="AD210" s="797"/>
      <c r="AE210" s="797"/>
      <c r="AF210" s="797"/>
      <c r="AG210" s="797"/>
      <c r="AH210" s="797"/>
      <c r="AI210" s="797"/>
      <c r="AJ210" s="798"/>
      <c r="AK210" s="326" t="str">
        <f>Y20</f>
        <v/>
      </c>
      <c r="AL210" s="84"/>
    </row>
    <row r="211" spans="1:56">
      <c r="A211" s="84"/>
      <c r="B211" s="785"/>
      <c r="C211" s="774" t="s">
        <v>2068</v>
      </c>
      <c r="D211" s="775"/>
      <c r="E211" s="775"/>
      <c r="F211" s="775"/>
      <c r="G211" s="775"/>
      <c r="H211" s="775"/>
      <c r="I211" s="775"/>
      <c r="J211" s="775"/>
      <c r="K211" s="775"/>
      <c r="L211" s="775"/>
      <c r="M211" s="775"/>
      <c r="N211" s="775"/>
      <c r="O211" s="775"/>
      <c r="P211" s="775"/>
      <c r="Q211" s="775"/>
      <c r="R211" s="775"/>
      <c r="S211" s="775"/>
      <c r="T211" s="775"/>
      <c r="U211" s="775"/>
      <c r="V211" s="775"/>
      <c r="W211" s="775"/>
      <c r="X211" s="775"/>
      <c r="Y211" s="775"/>
      <c r="Z211" s="775"/>
      <c r="AA211" s="775"/>
      <c r="AB211" s="775"/>
      <c r="AC211" s="775"/>
      <c r="AD211" s="775"/>
      <c r="AE211" s="775"/>
      <c r="AF211" s="775"/>
      <c r="AG211" s="775"/>
      <c r="AH211" s="775"/>
      <c r="AI211" s="775"/>
      <c r="AJ211" s="776"/>
      <c r="AK211" s="326" t="str">
        <f>Y21</f>
        <v>○</v>
      </c>
      <c r="AL211" s="84"/>
    </row>
    <row r="212" spans="1:56">
      <c r="A212" s="84"/>
      <c r="B212" s="786"/>
      <c r="C212" s="774" t="s">
        <v>2079</v>
      </c>
      <c r="D212" s="775"/>
      <c r="E212" s="775"/>
      <c r="F212" s="775"/>
      <c r="G212" s="775"/>
      <c r="H212" s="775"/>
      <c r="I212" s="775"/>
      <c r="J212" s="775"/>
      <c r="K212" s="775"/>
      <c r="L212" s="775"/>
      <c r="M212" s="775"/>
      <c r="N212" s="775"/>
      <c r="O212" s="775"/>
      <c r="P212" s="775"/>
      <c r="Q212" s="775"/>
      <c r="R212" s="775"/>
      <c r="S212" s="775"/>
      <c r="T212" s="775"/>
      <c r="U212" s="775"/>
      <c r="V212" s="775"/>
      <c r="W212" s="775"/>
      <c r="X212" s="775"/>
      <c r="Y212" s="775"/>
      <c r="Z212" s="775"/>
      <c r="AA212" s="775"/>
      <c r="AB212" s="775"/>
      <c r="AC212" s="775"/>
      <c r="AD212" s="775"/>
      <c r="AE212" s="775"/>
      <c r="AF212" s="775"/>
      <c r="AG212" s="775"/>
      <c r="AH212" s="775"/>
      <c r="AI212" s="775"/>
      <c r="AJ212" s="776"/>
      <c r="AK212" s="326" t="str">
        <f>IF(Y25="○","○",IF(AA25="○","○","×"))</f>
        <v>×</v>
      </c>
      <c r="AL212" s="84"/>
    </row>
    <row r="213" spans="1:56">
      <c r="A213" s="84"/>
      <c r="B213" s="327" t="s">
        <v>2086</v>
      </c>
      <c r="C213" s="774" t="s">
        <v>1988</v>
      </c>
      <c r="D213" s="775"/>
      <c r="E213" s="775"/>
      <c r="F213" s="775"/>
      <c r="G213" s="775"/>
      <c r="H213" s="775"/>
      <c r="I213" s="775"/>
      <c r="J213" s="775"/>
      <c r="K213" s="775"/>
      <c r="L213" s="775"/>
      <c r="M213" s="775"/>
      <c r="N213" s="775"/>
      <c r="O213" s="775"/>
      <c r="P213" s="775"/>
      <c r="Q213" s="775"/>
      <c r="R213" s="775"/>
      <c r="S213" s="775"/>
      <c r="T213" s="775"/>
      <c r="U213" s="775"/>
      <c r="V213" s="775"/>
      <c r="W213" s="775"/>
      <c r="X213" s="775"/>
      <c r="Y213" s="775"/>
      <c r="Z213" s="775"/>
      <c r="AA213" s="775"/>
      <c r="AB213" s="775"/>
      <c r="AC213" s="775"/>
      <c r="AD213" s="775"/>
      <c r="AE213" s="775"/>
      <c r="AF213" s="775"/>
      <c r="AG213" s="775"/>
      <c r="AH213" s="775"/>
      <c r="AI213" s="775"/>
      <c r="AJ213" s="776"/>
      <c r="AK213" s="326" t="str">
        <f>AB37</f>
        <v>×</v>
      </c>
      <c r="AL213" s="84"/>
    </row>
    <row r="214" spans="1:56">
      <c r="A214" s="84"/>
      <c r="B214" s="328" t="s">
        <v>2087</v>
      </c>
      <c r="C214" s="771" t="s">
        <v>1989</v>
      </c>
      <c r="D214" s="772"/>
      <c r="E214" s="772"/>
      <c r="F214" s="772"/>
      <c r="G214" s="772"/>
      <c r="H214" s="772"/>
      <c r="I214" s="772"/>
      <c r="J214" s="772"/>
      <c r="K214" s="772"/>
      <c r="L214" s="772"/>
      <c r="M214" s="772"/>
      <c r="N214" s="772"/>
      <c r="O214" s="772"/>
      <c r="P214" s="772"/>
      <c r="Q214" s="772"/>
      <c r="R214" s="772"/>
      <c r="S214" s="772"/>
      <c r="T214" s="772"/>
      <c r="U214" s="772"/>
      <c r="V214" s="772"/>
      <c r="W214" s="772"/>
      <c r="X214" s="772"/>
      <c r="Y214" s="772"/>
      <c r="Z214" s="772"/>
      <c r="AA214" s="772"/>
      <c r="AB214" s="772"/>
      <c r="AC214" s="772"/>
      <c r="AD214" s="772"/>
      <c r="AE214" s="772"/>
      <c r="AF214" s="772"/>
      <c r="AG214" s="772"/>
      <c r="AH214" s="772"/>
      <c r="AI214" s="772"/>
      <c r="AJ214" s="773"/>
      <c r="AK214" s="326" t="str">
        <f>AK42</f>
        <v>×</v>
      </c>
      <c r="AL214" s="84"/>
      <c r="AN214" s="289"/>
      <c r="AO214" s="289"/>
      <c r="AP214" s="289"/>
      <c r="AQ214" s="289"/>
      <c r="AR214" s="289"/>
      <c r="AS214" s="289"/>
      <c r="AT214" s="289"/>
      <c r="AU214" s="289"/>
      <c r="AV214" s="289"/>
      <c r="AW214" s="289"/>
      <c r="AX214" s="289"/>
      <c r="AY214" s="289"/>
      <c r="AZ214" s="289"/>
      <c r="BA214" s="289"/>
      <c r="BB214" s="289"/>
      <c r="BC214" s="289"/>
      <c r="BD214" s="289"/>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89"/>
      <c r="AO215" s="289"/>
      <c r="AP215" s="289"/>
      <c r="AQ215" s="289"/>
      <c r="AR215" s="289"/>
      <c r="AS215" s="289"/>
      <c r="AT215" s="289"/>
      <c r="AU215" s="289"/>
      <c r="AV215" s="289"/>
      <c r="AW215" s="289"/>
      <c r="AX215" s="289"/>
      <c r="AY215" s="289"/>
      <c r="AZ215" s="289"/>
      <c r="BA215" s="289"/>
      <c r="BB215" s="289"/>
      <c r="BC215" s="289"/>
      <c r="BD215" s="289"/>
    </row>
    <row r="216" spans="1:56" s="289" customFormat="1" ht="15" customHeight="1">
      <c r="A216" s="286"/>
      <c r="B216" s="769" t="s">
        <v>2344</v>
      </c>
      <c r="C216" s="769"/>
      <c r="D216" s="769"/>
      <c r="E216" s="769"/>
      <c r="F216" s="769"/>
      <c r="G216" s="769"/>
      <c r="H216" s="769"/>
      <c r="I216" s="769"/>
      <c r="J216" s="769"/>
      <c r="K216" s="769"/>
      <c r="L216" s="769"/>
      <c r="M216" s="769"/>
      <c r="N216" s="769"/>
      <c r="O216" s="769"/>
      <c r="P216" s="769"/>
      <c r="Q216" s="769"/>
      <c r="R216" s="769"/>
      <c r="S216" s="769"/>
      <c r="T216" s="769"/>
      <c r="U216" s="769"/>
      <c r="V216" s="769"/>
      <c r="W216" s="769"/>
      <c r="X216" s="769"/>
      <c r="Y216" s="769"/>
      <c r="Z216" s="769"/>
      <c r="AA216" s="769"/>
      <c r="AB216" s="769"/>
      <c r="AC216" s="769"/>
      <c r="AD216" s="769"/>
      <c r="AE216" s="769"/>
      <c r="AF216" s="769"/>
      <c r="AG216" s="769"/>
      <c r="AH216" s="769"/>
      <c r="AI216" s="769"/>
      <c r="AJ216" s="769"/>
      <c r="AK216" s="769"/>
      <c r="AL216" s="84"/>
      <c r="AM216"/>
    </row>
    <row r="217" spans="1:56" s="289" customFormat="1">
      <c r="A217" s="286"/>
      <c r="B217" s="329" t="s">
        <v>128</v>
      </c>
      <c r="C217" s="1155" t="s">
        <v>1996</v>
      </c>
      <c r="D217" s="1156"/>
      <c r="E217" s="1156"/>
      <c r="F217" s="1156"/>
      <c r="G217" s="1156"/>
      <c r="H217" s="1156"/>
      <c r="I217" s="1157"/>
      <c r="J217" s="928" t="s">
        <v>2015</v>
      </c>
      <c r="K217" s="928"/>
      <c r="L217" s="928"/>
      <c r="M217" s="928"/>
      <c r="N217" s="928"/>
      <c r="O217" s="928"/>
      <c r="P217" s="928"/>
      <c r="Q217" s="928"/>
      <c r="R217" s="928"/>
      <c r="S217" s="928"/>
      <c r="T217" s="928"/>
      <c r="U217" s="928"/>
      <c r="V217" s="928"/>
      <c r="W217" s="928"/>
      <c r="X217" s="928"/>
      <c r="Y217" s="928"/>
      <c r="Z217" s="928"/>
      <c r="AA217" s="928"/>
      <c r="AB217" s="928"/>
      <c r="AC217" s="928"/>
      <c r="AD217" s="928"/>
      <c r="AE217" s="928"/>
      <c r="AF217" s="928"/>
      <c r="AG217" s="928"/>
      <c r="AH217" s="928"/>
      <c r="AI217" s="928"/>
      <c r="AJ217" s="929"/>
      <c r="AK217" s="326" t="str">
        <f>AH68</f>
        <v/>
      </c>
      <c r="AL217" s="330"/>
      <c r="AM217"/>
      <c r="AN217" s="94"/>
      <c r="AO217" s="94"/>
      <c r="AP217" s="94"/>
      <c r="AQ217" s="94"/>
      <c r="AR217" s="94"/>
      <c r="AS217" s="94"/>
      <c r="AT217" s="94"/>
      <c r="AU217" s="94"/>
      <c r="AV217" s="94"/>
      <c r="AW217" s="94"/>
      <c r="AX217" s="94"/>
      <c r="AY217" s="94"/>
      <c r="AZ217" s="94"/>
      <c r="BA217" s="94"/>
      <c r="BB217" s="94"/>
      <c r="BC217" s="94"/>
      <c r="BD217" s="94"/>
    </row>
    <row r="218" spans="1:56" s="289" customFormat="1" ht="27" customHeight="1">
      <c r="A218" s="286"/>
      <c r="B218" s="782" t="s">
        <v>2160</v>
      </c>
      <c r="C218" s="848" t="s">
        <v>2000</v>
      </c>
      <c r="D218" s="848"/>
      <c r="E218" s="848"/>
      <c r="F218" s="848"/>
      <c r="G218" s="848"/>
      <c r="H218" s="848"/>
      <c r="I218" s="848"/>
      <c r="J218" s="932" t="s">
        <v>2006</v>
      </c>
      <c r="K218" s="932"/>
      <c r="L218" s="932"/>
      <c r="M218" s="932"/>
      <c r="N218" s="932"/>
      <c r="O218" s="932"/>
      <c r="P218" s="932"/>
      <c r="Q218" s="932"/>
      <c r="R218" s="932"/>
      <c r="S218" s="932"/>
      <c r="T218" s="932"/>
      <c r="U218" s="932"/>
      <c r="V218" s="932"/>
      <c r="W218" s="932"/>
      <c r="X218" s="932"/>
      <c r="Y218" s="932"/>
      <c r="Z218" s="932"/>
      <c r="AA218" s="932"/>
      <c r="AB218" s="932"/>
      <c r="AC218" s="932"/>
      <c r="AD218" s="932"/>
      <c r="AE218" s="932"/>
      <c r="AF218" s="932"/>
      <c r="AG218" s="932"/>
      <c r="AH218" s="932"/>
      <c r="AI218" s="932"/>
      <c r="AJ218" s="933"/>
      <c r="AK218" s="326" t="str">
        <f>Z75</f>
        <v/>
      </c>
      <c r="AL218" s="331"/>
      <c r="AM218"/>
      <c r="AN218" s="94"/>
      <c r="AO218" s="94"/>
      <c r="AP218" s="94"/>
      <c r="AQ218" s="94"/>
      <c r="AR218" s="94"/>
      <c r="AS218" s="94"/>
      <c r="AT218" s="94"/>
      <c r="AU218" s="94"/>
      <c r="AV218" s="94"/>
      <c r="AW218" s="94"/>
      <c r="AX218" s="94"/>
      <c r="AY218" s="94"/>
      <c r="AZ218" s="94"/>
      <c r="BA218" s="94"/>
      <c r="BB218" s="94"/>
      <c r="BC218" s="94"/>
      <c r="BD218" s="94"/>
    </row>
    <row r="219" spans="1:56" s="289" customFormat="1" ht="26.25" customHeight="1">
      <c r="A219" s="286"/>
      <c r="B219" s="782"/>
      <c r="C219" s="848"/>
      <c r="D219" s="848"/>
      <c r="E219" s="848"/>
      <c r="F219" s="848"/>
      <c r="G219" s="848"/>
      <c r="H219" s="848"/>
      <c r="I219" s="848"/>
      <c r="J219" s="932" t="s">
        <v>2003</v>
      </c>
      <c r="K219" s="932"/>
      <c r="L219" s="932"/>
      <c r="M219" s="932"/>
      <c r="N219" s="932"/>
      <c r="O219" s="932"/>
      <c r="P219" s="932"/>
      <c r="Q219" s="932"/>
      <c r="R219" s="932"/>
      <c r="S219" s="932"/>
      <c r="T219" s="932"/>
      <c r="U219" s="932"/>
      <c r="V219" s="932"/>
      <c r="W219" s="932"/>
      <c r="X219" s="932"/>
      <c r="Y219" s="932"/>
      <c r="Z219" s="932"/>
      <c r="AA219" s="932"/>
      <c r="AB219" s="932"/>
      <c r="AC219" s="932"/>
      <c r="AD219" s="932"/>
      <c r="AE219" s="932"/>
      <c r="AF219" s="932"/>
      <c r="AG219" s="932"/>
      <c r="AH219" s="932"/>
      <c r="AI219" s="932"/>
      <c r="AJ219" s="933"/>
      <c r="AK219" s="326" t="str">
        <f>AB79</f>
        <v/>
      </c>
      <c r="AL219" s="331"/>
      <c r="AM219"/>
      <c r="AN219" s="94"/>
      <c r="AO219" s="94"/>
      <c r="AP219" s="94"/>
      <c r="AQ219" s="94"/>
      <c r="AR219" s="94"/>
      <c r="AS219" s="94"/>
      <c r="AT219" s="94"/>
      <c r="AU219" s="94"/>
      <c r="AV219" s="94"/>
      <c r="AW219" s="94"/>
      <c r="AX219" s="94"/>
      <c r="AY219" s="94"/>
      <c r="AZ219" s="94"/>
      <c r="BA219" s="94"/>
      <c r="BB219" s="94"/>
      <c r="BC219" s="94"/>
      <c r="BD219" s="94"/>
    </row>
    <row r="220" spans="1:56" s="289" customFormat="1" ht="24.75" customHeight="1">
      <c r="A220" s="286"/>
      <c r="B220" s="782"/>
      <c r="C220" s="848"/>
      <c r="D220" s="848"/>
      <c r="E220" s="848"/>
      <c r="F220" s="848"/>
      <c r="G220" s="848"/>
      <c r="H220" s="848"/>
      <c r="I220" s="848"/>
      <c r="J220" s="932" t="s">
        <v>2339</v>
      </c>
      <c r="K220" s="932"/>
      <c r="L220" s="932"/>
      <c r="M220" s="932"/>
      <c r="N220" s="932"/>
      <c r="O220" s="932"/>
      <c r="P220" s="932"/>
      <c r="Q220" s="932"/>
      <c r="R220" s="932"/>
      <c r="S220" s="932"/>
      <c r="T220" s="932"/>
      <c r="U220" s="932"/>
      <c r="V220" s="932"/>
      <c r="W220" s="932"/>
      <c r="X220" s="932"/>
      <c r="Y220" s="932"/>
      <c r="Z220" s="932"/>
      <c r="AA220" s="932"/>
      <c r="AB220" s="932"/>
      <c r="AC220" s="932"/>
      <c r="AD220" s="932"/>
      <c r="AE220" s="932"/>
      <c r="AF220" s="932"/>
      <c r="AG220" s="932"/>
      <c r="AH220" s="932"/>
      <c r="AI220" s="932"/>
      <c r="AJ220" s="933"/>
      <c r="AK220" s="326" t="str">
        <f>AI82</f>
        <v/>
      </c>
      <c r="AL220" s="331"/>
      <c r="AM220"/>
    </row>
    <row r="221" spans="1:56" s="289" customFormat="1" ht="25.5" customHeight="1">
      <c r="A221" s="286"/>
      <c r="B221" s="782"/>
      <c r="C221" s="848"/>
      <c r="D221" s="848"/>
      <c r="E221" s="848"/>
      <c r="F221" s="848"/>
      <c r="G221" s="848"/>
      <c r="H221" s="848"/>
      <c r="I221" s="848"/>
      <c r="J221" s="932" t="s">
        <v>2001</v>
      </c>
      <c r="K221" s="932"/>
      <c r="L221" s="932"/>
      <c r="M221" s="932"/>
      <c r="N221" s="932"/>
      <c r="O221" s="932"/>
      <c r="P221" s="932"/>
      <c r="Q221" s="932"/>
      <c r="R221" s="932"/>
      <c r="S221" s="932"/>
      <c r="T221" s="932"/>
      <c r="U221" s="932"/>
      <c r="V221" s="932"/>
      <c r="W221" s="932"/>
      <c r="X221" s="932"/>
      <c r="Y221" s="932"/>
      <c r="Z221" s="932"/>
      <c r="AA221" s="932"/>
      <c r="AB221" s="932"/>
      <c r="AC221" s="932"/>
      <c r="AD221" s="932"/>
      <c r="AE221" s="932"/>
      <c r="AF221" s="932"/>
      <c r="AG221" s="932"/>
      <c r="AH221" s="932"/>
      <c r="AI221" s="932"/>
      <c r="AJ221" s="933"/>
      <c r="AK221" s="326" t="str">
        <f>AI87</f>
        <v/>
      </c>
      <c r="AL221" s="331"/>
      <c r="AM221"/>
    </row>
    <row r="222" spans="1:56" s="289" customFormat="1" ht="48.75" customHeight="1">
      <c r="A222" s="286"/>
      <c r="B222" s="782" t="s">
        <v>2087</v>
      </c>
      <c r="C222" s="848" t="s">
        <v>1991</v>
      </c>
      <c r="D222" s="848"/>
      <c r="E222" s="848"/>
      <c r="F222" s="848"/>
      <c r="G222" s="848"/>
      <c r="H222" s="848"/>
      <c r="I222" s="848"/>
      <c r="J222" s="932" t="s">
        <v>2345</v>
      </c>
      <c r="K222" s="932"/>
      <c r="L222" s="932"/>
      <c r="M222" s="932"/>
      <c r="N222" s="932"/>
      <c r="O222" s="932"/>
      <c r="P222" s="932"/>
      <c r="Q222" s="932"/>
      <c r="R222" s="932"/>
      <c r="S222" s="932"/>
      <c r="T222" s="932"/>
      <c r="U222" s="932"/>
      <c r="V222" s="932"/>
      <c r="W222" s="932"/>
      <c r="X222" s="932"/>
      <c r="Y222" s="932"/>
      <c r="Z222" s="932"/>
      <c r="AA222" s="932"/>
      <c r="AB222" s="932"/>
      <c r="AC222" s="932"/>
      <c r="AD222" s="932"/>
      <c r="AE222" s="932"/>
      <c r="AF222" s="932"/>
      <c r="AG222" s="932"/>
      <c r="AH222" s="932"/>
      <c r="AI222" s="932"/>
      <c r="AJ222" s="933"/>
      <c r="AK222" s="326" t="str">
        <f>IF(AI93="該当",IF(AND(OR(T98="○",AK103="○"),OR(T106="○",AK114="○")),"○","×"),"")</f>
        <v/>
      </c>
      <c r="AL222" s="332"/>
      <c r="AM222"/>
      <c r="AN222" s="94"/>
      <c r="AO222" s="94"/>
      <c r="AP222" s="94"/>
      <c r="AQ222" s="94"/>
      <c r="AR222" s="94"/>
      <c r="AS222" s="94"/>
      <c r="AT222" s="94"/>
      <c r="AU222" s="94"/>
      <c r="AV222" s="94"/>
      <c r="AW222" s="94"/>
      <c r="AX222" s="94"/>
      <c r="AY222" s="94"/>
      <c r="AZ222" s="94"/>
      <c r="BA222" s="94"/>
      <c r="BB222" s="94"/>
      <c r="BC222" s="94"/>
      <c r="BD222" s="94"/>
    </row>
    <row r="223" spans="1:56" s="289" customFormat="1" ht="49.5" customHeight="1">
      <c r="A223" s="286"/>
      <c r="B223" s="782"/>
      <c r="C223" s="848"/>
      <c r="D223" s="848"/>
      <c r="E223" s="848"/>
      <c r="F223" s="848"/>
      <c r="G223" s="848"/>
      <c r="H223" s="848"/>
      <c r="I223" s="848"/>
      <c r="J223" s="932" t="s">
        <v>2346</v>
      </c>
      <c r="K223" s="932"/>
      <c r="L223" s="932"/>
      <c r="M223" s="932"/>
      <c r="N223" s="932"/>
      <c r="O223" s="932"/>
      <c r="P223" s="932"/>
      <c r="Q223" s="932"/>
      <c r="R223" s="932"/>
      <c r="S223" s="932"/>
      <c r="T223" s="932"/>
      <c r="U223" s="932"/>
      <c r="V223" s="932"/>
      <c r="W223" s="932"/>
      <c r="X223" s="932"/>
      <c r="Y223" s="932"/>
      <c r="Z223" s="932"/>
      <c r="AA223" s="932"/>
      <c r="AB223" s="932"/>
      <c r="AC223" s="932"/>
      <c r="AD223" s="932"/>
      <c r="AE223" s="932"/>
      <c r="AF223" s="932"/>
      <c r="AG223" s="932"/>
      <c r="AH223" s="932"/>
      <c r="AI223" s="932"/>
      <c r="AJ223" s="933"/>
      <c r="AK223" s="326" t="str">
        <f>IF(AI95="該当",IF(OR(OR(T98="○",AK103="○"),OR(T106="○",AK114="○")),"○","×"),"")</f>
        <v>×</v>
      </c>
      <c r="AL223" s="332"/>
      <c r="AM223"/>
      <c r="AN223" s="94"/>
      <c r="AO223" s="94"/>
      <c r="AP223" s="94"/>
      <c r="AQ223" s="94"/>
      <c r="AR223" s="94"/>
      <c r="AS223" s="94"/>
      <c r="AT223" s="94"/>
      <c r="AU223" s="94"/>
      <c r="AV223" s="94"/>
      <c r="AW223" s="94"/>
      <c r="AX223" s="94"/>
      <c r="AY223" s="94"/>
      <c r="AZ223" s="94"/>
      <c r="BA223" s="94"/>
      <c r="BB223" s="94"/>
      <c r="BC223" s="94"/>
      <c r="BD223" s="94"/>
    </row>
    <row r="224" spans="1:56" s="94" customFormat="1" ht="26.25" customHeight="1">
      <c r="A224" s="93"/>
      <c r="B224" s="327" t="s">
        <v>2161</v>
      </c>
      <c r="C224" s="848" t="s">
        <v>1992</v>
      </c>
      <c r="D224" s="848"/>
      <c r="E224" s="848"/>
      <c r="F224" s="848"/>
      <c r="G224" s="848"/>
      <c r="H224" s="848"/>
      <c r="I224" s="848"/>
      <c r="J224" s="932" t="s">
        <v>2007</v>
      </c>
      <c r="K224" s="932"/>
      <c r="L224" s="932"/>
      <c r="M224" s="932"/>
      <c r="N224" s="932"/>
      <c r="O224" s="932"/>
      <c r="P224" s="932"/>
      <c r="Q224" s="932"/>
      <c r="R224" s="932"/>
      <c r="S224" s="932"/>
      <c r="T224" s="932"/>
      <c r="U224" s="932"/>
      <c r="V224" s="932"/>
      <c r="W224" s="932"/>
      <c r="X224" s="932"/>
      <c r="Y224" s="932"/>
      <c r="Z224" s="932"/>
      <c r="AA224" s="932"/>
      <c r="AB224" s="932"/>
      <c r="AC224" s="932"/>
      <c r="AD224" s="932"/>
      <c r="AE224" s="932"/>
      <c r="AF224" s="932"/>
      <c r="AG224" s="932"/>
      <c r="AH224" s="932"/>
      <c r="AI224" s="932"/>
      <c r="AJ224" s="933"/>
      <c r="AK224" s="326" t="str">
        <f>IF(AM116="記入不要","",IF(OR(S118="○",AK125="○"),"○","×"))</f>
        <v/>
      </c>
      <c r="AL224" s="84"/>
      <c r="AM224"/>
    </row>
    <row r="225" spans="1:56" s="94" customFormat="1" ht="36" customHeight="1">
      <c r="A225" s="93"/>
      <c r="B225" s="327" t="s">
        <v>2162</v>
      </c>
      <c r="C225" s="848" t="s">
        <v>1993</v>
      </c>
      <c r="D225" s="848"/>
      <c r="E225" s="848"/>
      <c r="F225" s="848"/>
      <c r="G225" s="848"/>
      <c r="H225" s="848"/>
      <c r="I225" s="848"/>
      <c r="J225" s="932" t="s">
        <v>2008</v>
      </c>
      <c r="K225" s="932"/>
      <c r="L225" s="932"/>
      <c r="M225" s="932"/>
      <c r="N225" s="932"/>
      <c r="O225" s="932"/>
      <c r="P225" s="932"/>
      <c r="Q225" s="932"/>
      <c r="R225" s="932"/>
      <c r="S225" s="932"/>
      <c r="T225" s="932"/>
      <c r="U225" s="932"/>
      <c r="V225" s="932"/>
      <c r="W225" s="932"/>
      <c r="X225" s="932"/>
      <c r="Y225" s="932"/>
      <c r="Z225" s="932"/>
      <c r="AA225" s="932"/>
      <c r="AB225" s="932"/>
      <c r="AC225" s="932"/>
      <c r="AD225" s="932"/>
      <c r="AE225" s="932"/>
      <c r="AF225" s="932"/>
      <c r="AG225" s="932"/>
      <c r="AH225" s="932"/>
      <c r="AI225" s="932"/>
      <c r="AJ225" s="933"/>
      <c r="AK225" s="326" t="str">
        <f>IF(OR(AND(S129&lt;&gt;"×",S130&lt;&gt;"×",S131&lt;&gt;"×"),AK133="○"),"○","×")</f>
        <v>○</v>
      </c>
      <c r="AL225" s="84"/>
      <c r="AM225"/>
    </row>
    <row r="226" spans="1:56" s="94" customFormat="1">
      <c r="A226" s="93"/>
      <c r="B226" s="327" t="s">
        <v>2163</v>
      </c>
      <c r="C226" s="848" t="s">
        <v>1994</v>
      </c>
      <c r="D226" s="848"/>
      <c r="E226" s="848"/>
      <c r="F226" s="848"/>
      <c r="G226" s="848"/>
      <c r="H226" s="848"/>
      <c r="I226" s="848"/>
      <c r="J226" s="928" t="s">
        <v>2340</v>
      </c>
      <c r="K226" s="928"/>
      <c r="L226" s="928"/>
      <c r="M226" s="928"/>
      <c r="N226" s="928"/>
      <c r="O226" s="928"/>
      <c r="P226" s="928"/>
      <c r="Q226" s="928"/>
      <c r="R226" s="928"/>
      <c r="S226" s="928"/>
      <c r="T226" s="928"/>
      <c r="U226" s="928"/>
      <c r="V226" s="928"/>
      <c r="W226" s="928"/>
      <c r="X226" s="928"/>
      <c r="Y226" s="928"/>
      <c r="Z226" s="928"/>
      <c r="AA226" s="928"/>
      <c r="AB226" s="928"/>
      <c r="AC226" s="928"/>
      <c r="AD226" s="928"/>
      <c r="AE226" s="928"/>
      <c r="AF226" s="928"/>
      <c r="AG226" s="928"/>
      <c r="AH226" s="928"/>
      <c r="AI226" s="928"/>
      <c r="AJ226" s="929"/>
      <c r="AK226" s="326" t="str">
        <f>IF(AND(S142="",S143=""),"",IF(AND(S142&lt;&gt;"×",S143&lt;&gt;"×"),"○","×"))</f>
        <v/>
      </c>
      <c r="AL226" s="332"/>
      <c r="AM226"/>
    </row>
    <row r="227" spans="1:56" s="94" customFormat="1">
      <c r="A227" s="93"/>
      <c r="B227" s="782" t="s">
        <v>2164</v>
      </c>
      <c r="C227" s="848" t="s">
        <v>1995</v>
      </c>
      <c r="D227" s="848"/>
      <c r="E227" s="848"/>
      <c r="F227" s="848"/>
      <c r="G227" s="848"/>
      <c r="H227" s="848"/>
      <c r="I227" s="848"/>
      <c r="J227" s="928" t="s">
        <v>2009</v>
      </c>
      <c r="K227" s="928"/>
      <c r="L227" s="928"/>
      <c r="M227" s="928"/>
      <c r="N227" s="928"/>
      <c r="O227" s="928"/>
      <c r="P227" s="928"/>
      <c r="Q227" s="928"/>
      <c r="R227" s="928"/>
      <c r="S227" s="928"/>
      <c r="T227" s="928"/>
      <c r="U227" s="928"/>
      <c r="V227" s="928"/>
      <c r="W227" s="928"/>
      <c r="X227" s="928"/>
      <c r="Y227" s="928"/>
      <c r="Z227" s="928"/>
      <c r="AA227" s="928"/>
      <c r="AB227" s="928"/>
      <c r="AC227" s="928"/>
      <c r="AD227" s="928"/>
      <c r="AE227" s="928"/>
      <c r="AF227" s="928"/>
      <c r="AG227" s="928"/>
      <c r="AH227" s="928"/>
      <c r="AI227" s="928"/>
      <c r="AJ227" s="929"/>
      <c r="AK227" s="326" t="str">
        <f>AK153</f>
        <v>×</v>
      </c>
      <c r="AL227" s="84"/>
      <c r="AM227"/>
      <c r="AN227"/>
      <c r="AO227"/>
      <c r="AP227"/>
      <c r="AQ227"/>
      <c r="AR227"/>
      <c r="AS227"/>
      <c r="AT227"/>
      <c r="AU227"/>
      <c r="AV227"/>
      <c r="AW227"/>
      <c r="AX227" s="121"/>
      <c r="AY227"/>
      <c r="AZ227"/>
      <c r="BA227"/>
      <c r="BB227"/>
      <c r="BC227"/>
      <c r="BD227"/>
    </row>
    <row r="228" spans="1:56" s="94" customFormat="1">
      <c r="A228" s="93"/>
      <c r="B228" s="926"/>
      <c r="C228" s="927"/>
      <c r="D228" s="927"/>
      <c r="E228" s="927"/>
      <c r="F228" s="927"/>
      <c r="G228" s="927"/>
      <c r="H228" s="927"/>
      <c r="I228" s="927"/>
      <c r="J228" s="930" t="s">
        <v>2010</v>
      </c>
      <c r="K228" s="930"/>
      <c r="L228" s="930"/>
      <c r="M228" s="930"/>
      <c r="N228" s="930"/>
      <c r="O228" s="930"/>
      <c r="P228" s="930"/>
      <c r="Q228" s="930"/>
      <c r="R228" s="930"/>
      <c r="S228" s="930"/>
      <c r="T228" s="930"/>
      <c r="U228" s="930"/>
      <c r="V228" s="930"/>
      <c r="W228" s="930"/>
      <c r="X228" s="930"/>
      <c r="Y228" s="930"/>
      <c r="Z228" s="930"/>
      <c r="AA228" s="930"/>
      <c r="AB228" s="930"/>
      <c r="AC228" s="930"/>
      <c r="AD228" s="930"/>
      <c r="AE228" s="930"/>
      <c r="AF228" s="930"/>
      <c r="AG228" s="930"/>
      <c r="AH228" s="930"/>
      <c r="AI228" s="930"/>
      <c r="AJ228" s="931"/>
      <c r="AK228" s="326" t="str">
        <f>AK181</f>
        <v/>
      </c>
      <c r="AL228" s="84"/>
      <c r="AM228"/>
      <c r="AN228"/>
      <c r="AO228"/>
      <c r="AP228"/>
      <c r="AQ228"/>
      <c r="AR228"/>
      <c r="AS228"/>
      <c r="AT228"/>
      <c r="AU228"/>
      <c r="AV228"/>
      <c r="AW228"/>
      <c r="AX228" s="121"/>
      <c r="AY228"/>
      <c r="AZ228"/>
      <c r="BA228"/>
      <c r="BB228"/>
      <c r="BC228"/>
      <c r="BD228"/>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69" t="s">
        <v>2011</v>
      </c>
      <c r="C230" s="769"/>
      <c r="D230" s="769"/>
      <c r="E230" s="769"/>
      <c r="F230" s="769"/>
      <c r="G230" s="769"/>
      <c r="H230" s="769"/>
      <c r="I230" s="769"/>
      <c r="J230" s="769"/>
      <c r="K230" s="769"/>
      <c r="L230" s="769"/>
      <c r="M230" s="769"/>
      <c r="N230" s="769"/>
      <c r="O230" s="769"/>
      <c r="P230" s="769"/>
      <c r="Q230" s="769"/>
      <c r="R230" s="769"/>
      <c r="S230" s="769"/>
      <c r="T230" s="769"/>
      <c r="U230" s="769"/>
      <c r="V230" s="769"/>
      <c r="W230" s="769"/>
      <c r="X230" s="769"/>
      <c r="Y230" s="769"/>
      <c r="Z230" s="769"/>
      <c r="AA230" s="769"/>
      <c r="AB230" s="769"/>
      <c r="AC230" s="769"/>
      <c r="AD230" s="769"/>
      <c r="AE230" s="769"/>
      <c r="AF230" s="769"/>
      <c r="AG230" s="769"/>
      <c r="AH230" s="769"/>
      <c r="AI230" s="769"/>
      <c r="AJ230" s="769"/>
      <c r="AK230" s="769"/>
      <c r="AL230" s="84"/>
    </row>
    <row r="231" spans="1:56">
      <c r="A231" s="84"/>
      <c r="B231" s="333" t="s">
        <v>2115</v>
      </c>
      <c r="C231" s="799" t="s">
        <v>129</v>
      </c>
      <c r="D231" s="799"/>
      <c r="E231" s="799"/>
      <c r="F231" s="799"/>
      <c r="G231" s="799"/>
      <c r="H231" s="799"/>
      <c r="I231" s="799"/>
      <c r="J231" s="799"/>
      <c r="K231" s="799"/>
      <c r="L231" s="799"/>
      <c r="M231" s="799"/>
      <c r="N231" s="799"/>
      <c r="O231" s="799"/>
      <c r="P231" s="799"/>
      <c r="Q231" s="799"/>
      <c r="R231" s="799"/>
      <c r="S231" s="799"/>
      <c r="T231" s="799"/>
      <c r="U231" s="799"/>
      <c r="V231" s="799"/>
      <c r="W231" s="799"/>
      <c r="X231" s="799"/>
      <c r="Y231" s="799"/>
      <c r="Z231" s="799"/>
      <c r="AA231" s="799"/>
      <c r="AB231" s="799"/>
      <c r="AC231" s="799"/>
      <c r="AD231" s="799"/>
      <c r="AE231" s="799"/>
      <c r="AF231" s="799"/>
      <c r="AG231" s="799"/>
      <c r="AH231" s="799"/>
      <c r="AI231" s="799"/>
      <c r="AJ231" s="800"/>
      <c r="AK231" s="326" t="str">
        <f>AK187</f>
        <v>×</v>
      </c>
      <c r="AL231" s="84"/>
    </row>
    <row r="232" spans="1:56" ht="13.5" customHeight="1">
      <c r="B232" s="334" t="s">
        <v>2115</v>
      </c>
      <c r="C232" s="759" t="s">
        <v>2114</v>
      </c>
      <c r="D232" s="759"/>
      <c r="E232" s="759"/>
      <c r="F232" s="759"/>
      <c r="G232" s="759"/>
      <c r="H232" s="759"/>
      <c r="I232" s="759"/>
      <c r="J232" s="759"/>
      <c r="K232" s="759"/>
      <c r="L232" s="759"/>
      <c r="M232" s="759"/>
      <c r="N232" s="759"/>
      <c r="O232" s="759"/>
      <c r="P232" s="759"/>
      <c r="Q232" s="759"/>
      <c r="R232" s="759"/>
      <c r="S232" s="759"/>
      <c r="T232" s="759"/>
      <c r="U232" s="759"/>
      <c r="V232" s="759"/>
      <c r="W232" s="759"/>
      <c r="X232" s="759"/>
      <c r="Y232" s="759"/>
      <c r="Z232" s="759"/>
      <c r="AA232" s="759"/>
      <c r="AB232" s="759"/>
      <c r="AC232" s="759"/>
      <c r="AD232" s="759"/>
      <c r="AE232" s="759"/>
      <c r="AF232" s="759"/>
      <c r="AG232" s="759"/>
      <c r="AH232" s="759"/>
      <c r="AI232" s="759"/>
      <c r="AJ232" s="760"/>
      <c r="AK232" s="326"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1"/>
      <c r="AO247" s="311"/>
      <c r="AP247" s="311"/>
      <c r="AQ247" s="311"/>
      <c r="AR247" s="311"/>
      <c r="AS247" s="311"/>
      <c r="AT247" s="311"/>
      <c r="AU247" s="311"/>
      <c r="AV247" s="311"/>
      <c r="AW247" s="311"/>
      <c r="AX247" s="311"/>
      <c r="AY247" s="311"/>
      <c r="AZ247" s="311"/>
      <c r="BA247" s="311"/>
      <c r="BB247" s="311"/>
      <c r="BC247" s="311"/>
      <c r="BD247" s="311"/>
    </row>
    <row r="248" spans="2:56" s="311"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11"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row>
    <row r="250" spans="2:56" s="311" customFormat="1">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1" priority="78">
      <formula>$AI$93=""</formula>
    </cfRule>
  </conditionalFormatting>
  <conditionalFormatting sqref="B95:AK95">
    <cfRule type="expression" dxfId="90" priority="77">
      <formula>$AI$95=""</formula>
    </cfRule>
  </conditionalFormatting>
  <conditionalFormatting sqref="B117:AK124">
    <cfRule type="expression" dxfId="89" priority="79">
      <formula>$AM$116="記入不要"</formula>
    </cfRule>
  </conditionalFormatting>
  <conditionalFormatting sqref="B125:AK125">
    <cfRule type="expression" dxfId="88" priority="92">
      <formula>$S$118&lt;&gt;"×"</formula>
    </cfRule>
  </conditionalFormatting>
  <conditionalFormatting sqref="B128:AK131">
    <cfRule type="expression" dxfId="87" priority="5">
      <formula>$AI$147="該当"</formula>
    </cfRule>
  </conditionalFormatting>
  <conditionalFormatting sqref="B133:AK138">
    <cfRule type="expression" dxfId="86" priority="18482">
      <formula>$AM$129&lt;&gt;"×"</formula>
    </cfRule>
  </conditionalFormatting>
  <conditionalFormatting sqref="B141:AK144">
    <cfRule type="expression" dxfId="85" priority="6">
      <formula>$AM$140="記入不要"</formula>
    </cfRule>
  </conditionalFormatting>
  <conditionalFormatting sqref="B147:AK148">
    <cfRule type="expression" dxfId="84" priority="267">
      <formula>$AI$147=""</formula>
    </cfRule>
  </conditionalFormatting>
  <conditionalFormatting sqref="B150:AK151">
    <cfRule type="expression" dxfId="83" priority="268">
      <formula>$AI$150=""</formula>
    </cfRule>
  </conditionalFormatting>
  <conditionalFormatting sqref="B180:AK183">
    <cfRule type="expression" dxfId="82" priority="86">
      <formula>$AI$147="該当"</formula>
    </cfRule>
  </conditionalFormatting>
  <conditionalFormatting sqref="C103:AK103">
    <cfRule type="expression" dxfId="79" priority="105">
      <formula>$T$98&lt;&gt;"×"</formula>
    </cfRule>
  </conditionalFormatting>
  <conditionalFormatting sqref="C114:AK114">
    <cfRule type="expression" dxfId="78" priority="104">
      <formula>$T$106&lt;&gt;"×"</formula>
    </cfRule>
  </conditionalFormatting>
  <conditionalFormatting sqref="S118">
    <cfRule type="expression" dxfId="77" priority="99">
      <formula>$S$118="○"</formula>
    </cfRule>
  </conditionalFormatting>
  <conditionalFormatting sqref="S129">
    <cfRule type="expression" dxfId="76" priority="97">
      <formula>$S$129="○"</formula>
    </cfRule>
  </conditionalFormatting>
  <conditionalFormatting sqref="S129:S131">
    <cfRule type="expression" dxfId="75" priority="8">
      <formula>$S129=""</formula>
    </cfRule>
  </conditionalFormatting>
  <conditionalFormatting sqref="S130">
    <cfRule type="expression" dxfId="74" priority="96">
      <formula>$S$130="○"</formula>
    </cfRule>
  </conditionalFormatting>
  <conditionalFormatting sqref="S131">
    <cfRule type="expression" dxfId="73" priority="95">
      <formula>$S$131="○"</formula>
    </cfRule>
  </conditionalFormatting>
  <conditionalFormatting sqref="S142:S144">
    <cfRule type="expression" dxfId="72" priority="7">
      <formula>$S142=""</formula>
    </cfRule>
  </conditionalFormatting>
  <conditionalFormatting sqref="T98">
    <cfRule type="expression" dxfId="71" priority="102">
      <formula>$T$98="○"</formula>
    </cfRule>
  </conditionalFormatting>
  <conditionalFormatting sqref="T106">
    <cfRule type="expression" dxfId="70" priority="100">
      <formula>$T$106="○"</formula>
    </cfRule>
  </conditionalFormatting>
  <conditionalFormatting sqref="X20:Y20">
    <cfRule type="expression" dxfId="69" priority="70">
      <formula>$Y$20&lt;&gt;"×"</formula>
    </cfRule>
  </conditionalFormatting>
  <conditionalFormatting sqref="Y25:Y26">
    <cfRule type="expression" dxfId="68" priority="75">
      <formula>$Y$25="○"</formula>
    </cfRule>
  </conditionalFormatting>
  <conditionalFormatting sqref="Z25:Z27">
    <cfRule type="expression" dxfId="67" priority="73">
      <formula>$Y$25="○"</formula>
    </cfRule>
  </conditionalFormatting>
  <conditionalFormatting sqref="AA25:AA28">
    <cfRule type="expression" dxfId="66" priority="71">
      <formula>$Y$25="○"</formula>
    </cfRule>
  </conditionalFormatting>
  <conditionalFormatting sqref="AK210:AK214 AK217:AK228 AK231:AK232">
    <cfRule type="expression" dxfId="65" priority="30">
      <formula>$AK210=""</formula>
    </cfRule>
  </conditionalFormatting>
  <conditionalFormatting sqref="AM20:AY20">
    <cfRule type="expression" dxfId="64" priority="69">
      <formula>$Y$20&lt;&gt;"×"</formula>
    </cfRule>
  </conditionalFormatting>
  <conditionalFormatting sqref="AM20:AY21">
    <cfRule type="expression" dxfId="63" priority="3">
      <formula>AND($Y$20&lt;&gt;"×",$Y$21="○")</formula>
    </cfRule>
  </conditionalFormatting>
  <conditionalFormatting sqref="AM21:AY21">
    <cfRule type="expression" dxfId="62" priority="20">
      <formula>$Y$21="○"</formula>
    </cfRule>
  </conditionalFormatting>
  <conditionalFormatting sqref="AM27:AY28">
    <cfRule type="expression" dxfId="61" priority="19">
      <formula>OR($Y$25="○",$AA$25="○")</formula>
    </cfRule>
  </conditionalFormatting>
  <conditionalFormatting sqref="AM37:AY37">
    <cfRule type="expression" dxfId="60" priority="66">
      <formula>$AB$37&lt;&gt;"×"</formula>
    </cfRule>
  </conditionalFormatting>
  <conditionalFormatting sqref="AM42:AY42">
    <cfRule type="expression" dxfId="59" priority="65">
      <formula>$AK$42&lt;&gt;"×"</formula>
    </cfRule>
  </conditionalFormatting>
  <conditionalFormatting sqref="AM44:AY44">
    <cfRule type="expression" dxfId="58" priority="47">
      <formula>OR(AND($AM$54=FALSE,$AE$44=""),AND($AN$54=TRUE,$AE$44&lt;&gt;""))</formula>
    </cfRule>
  </conditionalFormatting>
  <conditionalFormatting sqref="AM46:AY47">
    <cfRule type="expression" dxfId="57" priority="18473">
      <formula>OR(AND($AR$51=FALSE,$Y$46=""),AND($AR$51=TRUE,$Y$46&lt;&gt;""))</formula>
    </cfRule>
  </conditionalFormatting>
  <conditionalFormatting sqref="AM60:AY61">
    <cfRule type="expression" dxfId="56" priority="29">
      <formula>$AB$60="○"</formula>
    </cfRule>
  </conditionalFormatting>
  <conditionalFormatting sqref="AM67:AY67">
    <cfRule type="expression" dxfId="55" priority="11">
      <formula>$AH$67&lt;&gt;"×"</formula>
    </cfRule>
  </conditionalFormatting>
  <conditionalFormatting sqref="AM67:AY68">
    <cfRule type="expression" dxfId="54" priority="10">
      <formula>AND($AH$67&lt;&gt;"×",$AH$68&lt;&gt;"×")</formula>
    </cfRule>
  </conditionalFormatting>
  <conditionalFormatting sqref="AM68:AY68">
    <cfRule type="expression" dxfId="53" priority="61">
      <formula>$AH$68&lt;&gt;"×"</formula>
    </cfRule>
  </conditionalFormatting>
  <conditionalFormatting sqref="AM75:AY75">
    <cfRule type="expression" dxfId="52" priority="64">
      <formula>$Z$75&lt;&gt;"×"</formula>
    </cfRule>
  </conditionalFormatting>
  <conditionalFormatting sqref="AM82:AY83">
    <cfRule type="expression" dxfId="51" priority="18441">
      <formula>$AI$82&lt;&gt;"×"</formula>
    </cfRule>
  </conditionalFormatting>
  <conditionalFormatting sqref="AM87:AY88">
    <cfRule type="expression" dxfId="50" priority="18444">
      <formula>$AI$87&lt;&gt;"×"</formula>
    </cfRule>
  </conditionalFormatting>
  <conditionalFormatting sqref="AM103:AY103">
    <cfRule type="expression" dxfId="49" priority="56">
      <formula>OR($T$98="○",$AK$103="",$AK$103="○")</formula>
    </cfRule>
  </conditionalFormatting>
  <conditionalFormatting sqref="AM109:AY109">
    <cfRule type="expression" dxfId="48" priority="48">
      <formula>OR(AND($AR$107=FALSE,$J$109=""),AND($AR$107=TRUE,$J$109&lt;&gt;""))</formula>
    </cfRule>
  </conditionalFormatting>
  <conditionalFormatting sqref="AM111:AY111">
    <cfRule type="expression" dxfId="47" priority="49">
      <formula>OR(AND($AR$108=FALSE,$J$111=""),AND($AR$108=TRUE,$J$111&lt;&gt;""))</formula>
    </cfRule>
  </conditionalFormatting>
  <conditionalFormatting sqref="AM114:AY114">
    <cfRule type="expression" dxfId="46" priority="58">
      <formula>OR($T$106="○",$AK$114="○",$AK$114="")</formula>
    </cfRule>
  </conditionalFormatting>
  <conditionalFormatting sqref="AM120:AY122">
    <cfRule type="expression" dxfId="45" priority="52">
      <formula>OR(AND($AM$118=TRUE,OR($AR$117=TRUE,$AR$118=TRUE,$AR$119=TRUE)),$AK$125="○")</formula>
    </cfRule>
  </conditionalFormatting>
  <conditionalFormatting sqref="AM125:AY125">
    <cfRule type="expression" dxfId="44" priority="57">
      <formula>OR($S$118="○",$AK$125="○")</formula>
    </cfRule>
  </conditionalFormatting>
  <conditionalFormatting sqref="AM133:AY133">
    <cfRule type="expression" dxfId="43" priority="2">
      <formula>OR($AM$129&lt;&gt;"×",$AK$133="○")</formula>
    </cfRule>
  </conditionalFormatting>
  <conditionalFormatting sqref="AM187:AY187">
    <cfRule type="expression" dxfId="42" priority="54">
      <formula>$AK$187&lt;&gt;"×"</formula>
    </cfRule>
  </conditionalFormatting>
  <conditionalFormatting sqref="AN138:AY138">
    <cfRule type="expression" dxfId="41" priority="9">
      <formula>OR(AND($AM$138=FALSE),AND($AM$138=TRUE,$F$138&lt;&gt;""))</formula>
    </cfRule>
  </conditionalFormatting>
  <conditionalFormatting sqref="AN151:AY151">
    <cfRule type="expression" dxfId="40" priority="1">
      <formula>OR($AI$147="該当",AND($AI$150="該当",$AK$153="○"))</formula>
    </cfRule>
  </conditionalFormatting>
  <conditionalFormatting sqref="AN153:AY153">
    <cfRule type="expression" dxfId="39" priority="55">
      <formula>OR($AI$150="該当",AND($AI$147="該当",$AK$153="○"))</formula>
    </cfRule>
  </conditionalFormatting>
  <conditionalFormatting sqref="AN182:AY183">
    <cfRule type="expression" dxfId="38" priority="53">
      <formula>$AK$181&lt;&gt;"×"</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customWidth="1"/>
    <col min="2" max="6" width="2.625" style="426" customWidth="1"/>
    <col min="7" max="7" width="16.625" customWidth="1"/>
    <col min="8" max="8" width="11.125" customWidth="1"/>
    <col min="9" max="9" width="9.375" customWidth="1"/>
    <col min="10" max="10" width="15.875" customWidth="1"/>
    <col min="11" max="11" width="15.375" customWidth="1"/>
    <col min="12" max="12" width="20.25" customWidth="1"/>
    <col min="13" max="13" width="20.375" customWidth="1"/>
    <col min="14" max="14" width="15.375" style="506" customWidth="1"/>
    <col min="15" max="15" width="7" style="507" customWidth="1"/>
    <col min="16" max="16" width="14.875" style="506" customWidth="1"/>
    <col min="17" max="17" width="7.25" style="507" customWidth="1"/>
    <col min="18" max="18" width="4.125" customWidth="1"/>
    <col min="19" max="19" width="3.625" customWidth="1"/>
    <col min="20" max="20" width="3.125" customWidth="1"/>
    <col min="21" max="21" width="3.625" customWidth="1"/>
    <col min="22" max="22" width="8.25" customWidth="1"/>
    <col min="23" max="23" width="3.625" customWidth="1"/>
    <col min="24" max="24" width="3.125" customWidth="1"/>
    <col min="25" max="25" width="3.625" customWidth="1"/>
    <col min="26" max="26" width="3.125" customWidth="1"/>
    <col min="27" max="27" width="2.5" customWidth="1"/>
    <col min="28" max="28" width="3.5" customWidth="1"/>
    <col min="29" max="29" width="5.5" customWidth="1"/>
    <col min="30" max="30" width="16.875" style="505" customWidth="1"/>
    <col min="31" max="31" width="18.5" style="505" customWidth="1"/>
    <col min="32" max="32" width="14.125" style="505" customWidth="1"/>
    <col min="33" max="33" width="9.375" customWidth="1"/>
    <col min="34" max="34" width="13.125" customWidth="1"/>
    <col min="35" max="35" width="11.625" customWidth="1"/>
    <col min="36" max="36" width="13.375" customWidth="1"/>
    <col min="37" max="37" width="14.625" customWidth="1"/>
    <col min="38" max="38" width="25.5" style="196" customWidth="1"/>
    <col min="39" max="39" width="77.75" style="196" customWidth="1"/>
    <col min="40" max="40" width="9.25" style="196" customWidth="1"/>
    <col min="41" max="41" width="14.125" style="400" hidden="1" customWidth="1"/>
    <col min="42" max="42" width="25.125" style="340" hidden="1" customWidth="1"/>
    <col min="43" max="43" width="30.375" style="340" hidden="1" customWidth="1"/>
    <col min="44" max="47" width="6.625" style="340" hidden="1" customWidth="1"/>
    <col min="48" max="48" width="9.375" style="340" hidden="1" customWidth="1"/>
    <col min="49" max="49" width="6.625" style="340" hidden="1" customWidth="1"/>
    <col min="50" max="50" width="16.375" hidden="1" customWidth="1"/>
  </cols>
  <sheetData>
    <row r="1" spans="1:212" ht="27.75" customHeight="1">
      <c r="A1" s="579" t="s">
        <v>2056</v>
      </c>
      <c r="B1" s="394"/>
      <c r="C1" s="394"/>
      <c r="D1" s="394"/>
      <c r="E1" s="394"/>
      <c r="F1" s="394"/>
      <c r="G1" s="86"/>
      <c r="H1" s="86"/>
      <c r="I1" s="86"/>
      <c r="J1" s="86"/>
      <c r="K1" s="86"/>
      <c r="L1" s="86"/>
      <c r="M1" s="86"/>
      <c r="N1" s="395"/>
      <c r="O1" s="396"/>
      <c r="P1" s="395"/>
      <c r="Q1" s="396"/>
      <c r="R1" s="86"/>
      <c r="S1" s="86"/>
      <c r="T1" s="86"/>
      <c r="U1" s="86"/>
      <c r="V1" s="84"/>
      <c r="W1" s="84"/>
      <c r="X1" s="84"/>
      <c r="Y1" s="84"/>
      <c r="Z1" s="84"/>
      <c r="AA1" s="84"/>
      <c r="AB1" s="84"/>
      <c r="AC1" s="84"/>
      <c r="AD1" s="397"/>
      <c r="AE1" s="397"/>
      <c r="AF1" s="397"/>
      <c r="AG1" s="84"/>
      <c r="AH1" s="84"/>
      <c r="AI1" s="84"/>
      <c r="AJ1" s="1215" t="s">
        <v>47</v>
      </c>
      <c r="AK1" s="1216"/>
      <c r="AL1" s="398" t="str">
        <f>IF(基本情報入力シート!C33="","",基本情報入力シート!C33)</f>
        <v/>
      </c>
      <c r="AM1" s="399"/>
      <c r="AN1" s="399"/>
    </row>
    <row r="2" spans="1:212" ht="13.5" customHeight="1" thickBot="1">
      <c r="A2" s="86"/>
      <c r="B2" s="395"/>
      <c r="C2" s="395"/>
      <c r="D2" s="395"/>
      <c r="E2" s="395"/>
      <c r="F2" s="395"/>
      <c r="G2" s="396"/>
      <c r="H2" s="396"/>
      <c r="I2" s="396"/>
      <c r="J2" s="396"/>
      <c r="K2" s="396"/>
      <c r="L2" s="396"/>
      <c r="M2" s="396"/>
      <c r="N2" s="395"/>
      <c r="O2" s="396"/>
      <c r="P2" s="395"/>
      <c r="Q2" s="396"/>
      <c r="R2" s="396"/>
      <c r="S2" s="86"/>
      <c r="T2" s="86"/>
      <c r="U2" s="401"/>
      <c r="V2" s="401"/>
      <c r="W2" s="401"/>
      <c r="X2" s="402"/>
      <c r="Y2" s="402"/>
      <c r="Z2" s="403"/>
      <c r="AA2" s="403"/>
      <c r="AB2" s="403"/>
      <c r="AC2" s="403"/>
      <c r="AD2" s="404"/>
      <c r="AE2" s="404"/>
      <c r="AF2" s="404"/>
      <c r="AG2" s="403"/>
      <c r="AH2" s="84"/>
      <c r="AI2" s="84"/>
      <c r="AJ2" s="84"/>
      <c r="AK2" s="84"/>
      <c r="AL2" s="194"/>
      <c r="AR2"/>
      <c r="AS2"/>
      <c r="AT2"/>
      <c r="AU2"/>
      <c r="AV2"/>
      <c r="AW2"/>
    </row>
    <row r="3" spans="1:212" ht="27" customHeight="1" thickBot="1">
      <c r="A3" s="1289" t="s">
        <v>5</v>
      </c>
      <c r="B3" s="1289"/>
      <c r="C3" s="1290"/>
      <c r="D3" s="1286" t="str">
        <f>IF(基本情報入力シート!M38="","",基本情報入力シート!M38)</f>
        <v/>
      </c>
      <c r="E3" s="1287"/>
      <c r="F3" s="1287"/>
      <c r="G3" s="1287"/>
      <c r="H3" s="1287"/>
      <c r="I3" s="1287"/>
      <c r="J3" s="1288"/>
      <c r="K3" s="85"/>
      <c r="L3" s="405"/>
      <c r="M3" s="405"/>
      <c r="N3" s="395"/>
      <c r="O3" s="396"/>
      <c r="P3" s="395"/>
      <c r="Q3" s="396"/>
      <c r="R3" s="405"/>
      <c r="S3" s="86"/>
      <c r="T3" s="86"/>
      <c r="U3" s="401"/>
      <c r="V3" s="401"/>
      <c r="W3" s="401"/>
      <c r="X3" s="401"/>
      <c r="Y3" s="401"/>
      <c r="Z3" s="86"/>
      <c r="AA3" s="86"/>
      <c r="AB3" s="86"/>
      <c r="AC3" s="86"/>
      <c r="AD3" s="404"/>
      <c r="AE3" s="404"/>
      <c r="AF3" s="404"/>
      <c r="AG3" s="86"/>
      <c r="AH3" s="84"/>
      <c r="AI3" s="84"/>
      <c r="AJ3" s="84"/>
      <c r="AK3" s="84"/>
      <c r="AL3" s="194"/>
      <c r="AR3"/>
      <c r="AS3"/>
      <c r="AT3"/>
      <c r="AU3"/>
      <c r="AV3"/>
      <c r="AW3"/>
    </row>
    <row r="4" spans="1:212" ht="12" customHeight="1" thickBot="1">
      <c r="A4" s="406"/>
      <c r="B4" s="407"/>
      <c r="C4" s="407"/>
      <c r="D4" s="408"/>
      <c r="E4" s="408"/>
      <c r="F4" s="408"/>
      <c r="G4" s="409"/>
      <c r="H4" s="409"/>
      <c r="I4" s="409"/>
      <c r="J4" s="409"/>
      <c r="K4" s="409"/>
      <c r="L4" s="405"/>
      <c r="M4" s="84"/>
      <c r="N4" s="395"/>
      <c r="O4" s="396"/>
      <c r="P4" s="395"/>
      <c r="Q4" s="396"/>
      <c r="R4" s="405"/>
      <c r="S4" s="86"/>
      <c r="T4" s="86"/>
      <c r="U4" s="86"/>
      <c r="V4" s="86"/>
      <c r="W4" s="86"/>
      <c r="X4" s="86"/>
      <c r="Y4" s="86"/>
      <c r="Z4" s="86"/>
      <c r="AA4" s="86"/>
      <c r="AB4" s="86"/>
      <c r="AC4" s="86"/>
      <c r="AD4" s="404"/>
      <c r="AE4" s="404"/>
      <c r="AF4" s="397"/>
      <c r="AG4" s="86"/>
      <c r="AH4" s="84"/>
      <c r="AI4" s="84"/>
      <c r="AJ4" s="84"/>
      <c r="AK4" s="84"/>
      <c r="AL4" s="194"/>
      <c r="AR4"/>
      <c r="AS4"/>
      <c r="AT4"/>
      <c r="AU4"/>
      <c r="AV4"/>
      <c r="AW4"/>
    </row>
    <row r="5" spans="1:212" ht="28.5" customHeight="1" thickBot="1">
      <c r="A5" s="1243" t="s">
        <v>2172</v>
      </c>
      <c r="B5" s="1244"/>
      <c r="C5" s="1244"/>
      <c r="D5" s="1244"/>
      <c r="E5" s="1244"/>
      <c r="F5" s="1244"/>
      <c r="G5" s="1244"/>
      <c r="H5" s="1244"/>
      <c r="I5" s="1244"/>
      <c r="J5" s="1245"/>
      <c r="K5" s="410">
        <f>IFERROR(SUMIF(M:M, "処遇改善加算", AD:AD),"")</f>
        <v>0</v>
      </c>
      <c r="L5" s="411" t="s">
        <v>1</v>
      </c>
      <c r="M5" s="405"/>
      <c r="N5" s="412"/>
      <c r="O5" s="413"/>
      <c r="P5" s="412"/>
      <c r="Q5" s="413"/>
      <c r="R5" s="405"/>
      <c r="S5" s="405"/>
      <c r="T5" s="405"/>
      <c r="U5" s="405"/>
      <c r="V5" s="405"/>
      <c r="W5" s="405"/>
      <c r="X5" s="405"/>
      <c r="Y5" s="405"/>
      <c r="Z5" s="405"/>
      <c r="AA5" s="405"/>
      <c r="AB5" s="405"/>
      <c r="AC5" s="405"/>
      <c r="AD5" s="414"/>
      <c r="AE5" s="414"/>
      <c r="AF5" s="397"/>
      <c r="AG5" s="84"/>
      <c r="AH5" s="84"/>
      <c r="AI5" s="84"/>
      <c r="AJ5" s="84"/>
      <c r="AK5" s="84"/>
      <c r="AL5" s="194"/>
      <c r="AO5" s="340"/>
      <c r="AR5"/>
      <c r="AS5"/>
      <c r="AT5"/>
      <c r="AU5"/>
      <c r="AV5"/>
      <c r="AW5"/>
    </row>
    <row r="6" spans="1:212" ht="28.5" customHeight="1" thickBot="1">
      <c r="A6" s="1243" t="s">
        <v>2173</v>
      </c>
      <c r="B6" s="1244"/>
      <c r="C6" s="1244"/>
      <c r="D6" s="1244"/>
      <c r="E6" s="1244"/>
      <c r="F6" s="1244"/>
      <c r="G6" s="1244"/>
      <c r="H6" s="1244"/>
      <c r="I6" s="1244"/>
      <c r="J6" s="1245"/>
      <c r="K6" s="70">
        <f>IFERROR(SUMIF(M:M, "特定加算", AD:AD),"")</f>
        <v>0</v>
      </c>
      <c r="L6" s="411" t="s">
        <v>1</v>
      </c>
      <c r="M6" s="405"/>
      <c r="N6" s="412"/>
      <c r="O6" s="413"/>
      <c r="P6" s="412"/>
      <c r="Q6" s="413"/>
      <c r="R6" s="405"/>
      <c r="S6" s="405"/>
      <c r="T6" s="405"/>
      <c r="U6" s="405"/>
      <c r="V6" s="405"/>
      <c r="W6" s="405"/>
      <c r="X6" s="405"/>
      <c r="Y6" s="405"/>
      <c r="Z6" s="405"/>
      <c r="AA6" s="405"/>
      <c r="AB6" s="405"/>
      <c r="AC6" s="405"/>
      <c r="AD6" s="414"/>
      <c r="AE6" s="414"/>
      <c r="AF6" s="415" t="s">
        <v>1971</v>
      </c>
      <c r="AG6" s="84"/>
      <c r="AH6" s="84"/>
      <c r="AI6" s="84"/>
      <c r="AJ6" s="84"/>
      <c r="AK6" s="84"/>
      <c r="AL6" s="194"/>
      <c r="AO6" s="416"/>
      <c r="AQ6" s="400"/>
    </row>
    <row r="7" spans="1:212" ht="32.25" customHeight="1" thickBot="1">
      <c r="A7" s="1246" t="s">
        <v>2174</v>
      </c>
      <c r="B7" s="1244"/>
      <c r="C7" s="1244"/>
      <c r="D7" s="1244"/>
      <c r="E7" s="1244"/>
      <c r="F7" s="1244"/>
      <c r="G7" s="1244"/>
      <c r="H7" s="1244"/>
      <c r="I7" s="1244"/>
      <c r="J7" s="1245"/>
      <c r="K7" s="417">
        <f>IFERROR(SUMIF(M:M, "ベースアップ等加算", AD:AD),"")</f>
        <v>0</v>
      </c>
      <c r="L7" s="411" t="s">
        <v>1</v>
      </c>
      <c r="M7" s="418"/>
      <c r="N7" s="419"/>
      <c r="O7" s="420"/>
      <c r="P7" s="419"/>
      <c r="Q7" s="420"/>
      <c r="R7" s="421"/>
      <c r="S7" s="421"/>
      <c r="T7" s="421"/>
      <c r="U7" s="421"/>
      <c r="V7" s="421"/>
      <c r="W7" s="421"/>
      <c r="X7" s="421"/>
      <c r="Y7" s="421"/>
      <c r="Z7" s="421"/>
      <c r="AA7" s="421"/>
      <c r="AB7" s="84"/>
      <c r="AC7" s="84"/>
      <c r="AD7" s="397"/>
      <c r="AE7" s="397"/>
      <c r="AF7" s="1212" t="s">
        <v>1969</v>
      </c>
      <c r="AG7" s="1213"/>
      <c r="AH7" s="1213"/>
      <c r="AI7" s="1213"/>
      <c r="AJ7" s="1214"/>
      <c r="AK7" s="422">
        <f>SUMIF(M:M,"特定加算",AK:AK)</f>
        <v>0</v>
      </c>
      <c r="AL7" s="194"/>
      <c r="AP7" s="423" t="s">
        <v>2049</v>
      </c>
      <c r="AQ7" s="424" t="str">
        <f>IF(COUNTIF(P:P,"処遇加算Ⅰ")&gt;=1,"処遇加算Ⅰあり","処遇加算Ⅰなし")</f>
        <v>処遇加算Ⅰなし</v>
      </c>
      <c r="AR7" s="1222" t="str">
        <f>IF((COUNTIF(P:P,"特定加算Ⅰ")+COUNTIF(P:P,"特定加算Ⅱ"))&gt;=1,"特定加算あり","特定加算なし")</f>
        <v>特定加算なし</v>
      </c>
      <c r="AS7" s="1222"/>
      <c r="AT7" s="1222"/>
      <c r="AU7" s="1222" t="str">
        <f>IF(COUNTIFS(N:N,"ベア加算なし",P:P,"ベア加算")&gt;=1,"新規ベア加算あり","新規ベア加算なし")</f>
        <v>新規ベア加算なし</v>
      </c>
      <c r="AV7" s="1222"/>
      <c r="AW7" s="1222"/>
    </row>
    <row r="8" spans="1:212" ht="38.25" customHeight="1" thickBot="1">
      <c r="A8" s="425"/>
      <c r="C8" s="1296" t="s">
        <v>2169</v>
      </c>
      <c r="D8" s="1296"/>
      <c r="E8" s="1296"/>
      <c r="F8" s="1296"/>
      <c r="G8" s="1296"/>
      <c r="H8" s="1296"/>
      <c r="I8" s="1296"/>
      <c r="J8" s="1297"/>
      <c r="K8" s="417">
        <f>IFERROR(SUMIF(M:M, "ベースアップ等加算",AF:AF),"")</f>
        <v>0</v>
      </c>
      <c r="L8" s="411" t="s">
        <v>1</v>
      </c>
      <c r="M8" s="421"/>
      <c r="N8" s="419"/>
      <c r="O8" s="420"/>
      <c r="P8" s="419"/>
      <c r="Q8" s="420"/>
      <c r="R8" s="421"/>
      <c r="S8" s="421"/>
      <c r="T8" s="421"/>
      <c r="U8" s="421"/>
      <c r="V8" s="421"/>
      <c r="W8" s="421"/>
      <c r="X8" s="421"/>
      <c r="Y8" s="421"/>
      <c r="Z8" s="421"/>
      <c r="AA8" s="421"/>
      <c r="AB8" s="84"/>
      <c r="AC8" s="84"/>
      <c r="AD8" s="397"/>
      <c r="AE8" s="397"/>
      <c r="AF8" s="1212" t="s">
        <v>2228</v>
      </c>
      <c r="AG8" s="1213"/>
      <c r="AH8" s="1213"/>
      <c r="AI8" s="1213"/>
      <c r="AJ8" s="1214"/>
      <c r="AK8" s="422">
        <f>SUM(AV:AV)</f>
        <v>0</v>
      </c>
      <c r="AL8" s="194"/>
      <c r="AP8" s="423" t="s">
        <v>2050</v>
      </c>
      <c r="AQ8" s="424" t="str">
        <f>IF((COUNTIF(P:P,"処遇加算Ⅰ")+COUNTIF(P:P,"処遇加算Ⅱ"))&gt;=1,"処遇加算Ⅰ・Ⅱあり","処遇加算Ⅰ・Ⅱなし")</f>
        <v>処遇加算Ⅰ・Ⅱなし</v>
      </c>
      <c r="AR8" s="1222" t="str">
        <f>IF(COUNTIF(P:P,"特定加算Ⅰ")&gt;=1,"特定加算Ⅰあり","特定加算Ⅰなし")</f>
        <v>特定加算Ⅰなし</v>
      </c>
      <c r="AS8" s="1222"/>
      <c r="AT8" s="1222"/>
      <c r="AU8" s="1222" t="str">
        <f>IF(COUNTIFS(N:N,"ベア加算",P:P,"ベア加算")&gt;=1,"継続ベア加算あり","継続ベア加算なし")</f>
        <v>継続ベア加算なし</v>
      </c>
      <c r="AV8" s="1222"/>
      <c r="AW8" s="1222"/>
    </row>
    <row r="9" spans="1:212" ht="36" customHeight="1" thickBot="1">
      <c r="A9" s="1247" t="s">
        <v>2168</v>
      </c>
      <c r="B9" s="1247"/>
      <c r="C9" s="1247"/>
      <c r="D9" s="1247"/>
      <c r="E9" s="1247"/>
      <c r="F9" s="1247"/>
      <c r="G9" s="1247"/>
      <c r="H9" s="1247"/>
      <c r="I9" s="1247"/>
      <c r="J9" s="1247"/>
      <c r="K9" s="417">
        <f>SUM(AE:AE)</f>
        <v>0</v>
      </c>
      <c r="L9" s="411" t="s">
        <v>1</v>
      </c>
      <c r="M9" s="421"/>
      <c r="N9" s="419"/>
      <c r="O9" s="420"/>
      <c r="P9" s="419"/>
      <c r="Q9" s="420"/>
      <c r="R9" s="421"/>
      <c r="S9" s="421"/>
      <c r="T9" s="421"/>
      <c r="U9" s="421"/>
      <c r="V9" s="421"/>
      <c r="W9" s="421"/>
      <c r="X9" s="421"/>
      <c r="Y9" s="421"/>
      <c r="Z9" s="421"/>
      <c r="AA9" s="421"/>
      <c r="AB9" s="84"/>
      <c r="AC9" s="84"/>
      <c r="AD9" s="397"/>
      <c r="AE9" s="397"/>
      <c r="AF9" s="427"/>
      <c r="AG9" s="428"/>
      <c r="AH9" s="428"/>
      <c r="AI9" s="428"/>
      <c r="AJ9" s="428"/>
      <c r="AK9" s="429"/>
      <c r="AL9" s="194"/>
      <c r="AP9" s="416"/>
      <c r="AQ9" s="430"/>
      <c r="AR9" s="430"/>
      <c r="AS9" s="430"/>
      <c r="AT9" s="430"/>
      <c r="AU9" s="430"/>
      <c r="AV9" s="430"/>
      <c r="AW9" s="430"/>
    </row>
    <row r="10" spans="1:212" ht="30" customHeight="1" thickBot="1">
      <c r="A10" s="1264" t="s">
        <v>2177</v>
      </c>
      <c r="B10" s="1264"/>
      <c r="C10" s="1264"/>
      <c r="D10" s="1264"/>
      <c r="E10" s="1264"/>
      <c r="F10" s="1264"/>
      <c r="G10" s="1264"/>
      <c r="H10" s="1264"/>
      <c r="I10" s="1264"/>
      <c r="J10" s="1264"/>
      <c r="K10" s="1264"/>
      <c r="L10" s="1264"/>
      <c r="M10" s="428"/>
      <c r="N10" s="431"/>
      <c r="O10" s="432"/>
      <c r="P10" s="431"/>
      <c r="Q10" s="432"/>
      <c r="R10" s="428"/>
      <c r="S10" s="428"/>
      <c r="T10" s="428"/>
      <c r="U10" s="428"/>
      <c r="V10" s="428"/>
      <c r="W10" s="428"/>
      <c r="X10" s="428"/>
      <c r="Y10" s="428"/>
      <c r="Z10" s="433"/>
      <c r="AA10" s="433"/>
      <c r="AB10" s="433"/>
      <c r="AC10" s="433"/>
      <c r="AD10" s="397"/>
      <c r="AE10" s="397"/>
      <c r="AF10" s="397"/>
      <c r="AG10" s="84"/>
      <c r="AH10" s="84"/>
      <c r="AI10" s="84"/>
      <c r="AJ10" s="84"/>
      <c r="AK10" s="434"/>
      <c r="AL10" s="194"/>
    </row>
    <row r="11" spans="1:212" ht="23.25" customHeight="1" thickBot="1">
      <c r="A11" s="1265"/>
      <c r="B11" s="1265"/>
      <c r="C11" s="1265"/>
      <c r="D11" s="1265"/>
      <c r="E11" s="1265"/>
      <c r="F11" s="1265"/>
      <c r="G11" s="1265"/>
      <c r="H11" s="1265"/>
      <c r="I11" s="1265"/>
      <c r="J11" s="1265"/>
      <c r="K11" s="1265"/>
      <c r="L11" s="1265"/>
      <c r="M11" s="86"/>
      <c r="N11" s="395"/>
      <c r="O11" s="396"/>
      <c r="P11" s="395"/>
      <c r="Q11" s="396"/>
      <c r="R11" s="86"/>
      <c r="S11" s="86"/>
      <c r="T11" s="86"/>
      <c r="U11" s="86"/>
      <c r="V11" s="86"/>
      <c r="W11" s="86"/>
      <c r="X11" s="86"/>
      <c r="Y11" s="86"/>
      <c r="Z11" s="86"/>
      <c r="AA11" s="86"/>
      <c r="AB11" s="86"/>
      <c r="AC11" s="86"/>
      <c r="AD11" s="435"/>
      <c r="AE11" s="435"/>
      <c r="AF11" s="1230" t="str">
        <f>IFERROR(IF(COUNTIF(AR:AR,"未入力")=0,"○","未入力あり"),"")</f>
        <v>○</v>
      </c>
      <c r="AG11" s="1231"/>
      <c r="AH11" s="436" t="str">
        <f>IFERROR(IF(COUNTIF(AS:AS,"未入力")=0,"○","未入力あり"),"")</f>
        <v>○</v>
      </c>
      <c r="AI11" s="436" t="str">
        <f>IFERROR(IF(COUNTIF(AT:AT,"未入力")=0,"○","未入力あり"),"")</f>
        <v>○</v>
      </c>
      <c r="AJ11" s="436" t="str">
        <f>IFERROR(IF(COUNTIF(AU:AU,"未入力")=0,"○","未入力あり"),"")</f>
        <v>○</v>
      </c>
      <c r="AK11" s="437" t="str">
        <f>IF(AR7="特定加算なし","",(IF(AK7&gt;=AK8,"○","×")))</f>
        <v/>
      </c>
      <c r="AL11" s="438" t="str">
        <f>IF(AR8="特定加算Ⅰなし","",IF(COUNTIF(AW:AW,"未入力")=0,"○","未入力あり"))</f>
        <v/>
      </c>
      <c r="AM11" s="439" t="s">
        <v>2051</v>
      </c>
      <c r="AN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c r="GD11" s="400"/>
      <c r="GE11" s="400"/>
      <c r="GF11" s="400"/>
      <c r="GG11" s="400"/>
      <c r="GH11" s="400"/>
      <c r="GI11" s="400"/>
      <c r="GJ11" s="400"/>
      <c r="GK11" s="400"/>
      <c r="GL11" s="400"/>
      <c r="GM11" s="400"/>
      <c r="GN11" s="400"/>
      <c r="GO11" s="400"/>
      <c r="GP11" s="400"/>
      <c r="GQ11" s="400"/>
      <c r="GR11" s="400"/>
      <c r="GS11" s="400"/>
      <c r="GT11" s="400"/>
      <c r="GU11" s="400"/>
      <c r="GV11" s="400"/>
      <c r="GW11" s="400"/>
      <c r="GX11" s="400"/>
      <c r="GY11" s="400"/>
      <c r="GZ11" s="400"/>
      <c r="HA11" s="400"/>
      <c r="HB11" s="400"/>
      <c r="HC11" s="400"/>
      <c r="HD11" s="400"/>
    </row>
    <row r="12" spans="1:212" ht="48.75" customHeight="1">
      <c r="A12" s="1291"/>
      <c r="B12" s="1254" t="s">
        <v>2214</v>
      </c>
      <c r="C12" s="1255"/>
      <c r="D12" s="1255"/>
      <c r="E12" s="1255"/>
      <c r="F12" s="1256"/>
      <c r="G12" s="1260" t="s">
        <v>55</v>
      </c>
      <c r="H12" s="1282" t="s">
        <v>79</v>
      </c>
      <c r="I12" s="1282"/>
      <c r="J12" s="1262" t="s">
        <v>60</v>
      </c>
      <c r="K12" s="1278" t="s">
        <v>35</v>
      </c>
      <c r="L12" s="1280" t="s">
        <v>2215</v>
      </c>
      <c r="M12" s="1270" t="s">
        <v>137</v>
      </c>
      <c r="N12" s="1217" t="s">
        <v>2059</v>
      </c>
      <c r="O12" s="1218"/>
      <c r="P12" s="1218" t="s">
        <v>2058</v>
      </c>
      <c r="Q12" s="1218"/>
      <c r="R12" s="1218"/>
      <c r="S12" s="1218"/>
      <c r="T12" s="1218"/>
      <c r="U12" s="1218"/>
      <c r="V12" s="1218"/>
      <c r="W12" s="1218"/>
      <c r="X12" s="1218"/>
      <c r="Y12" s="1218"/>
      <c r="Z12" s="1218"/>
      <c r="AA12" s="1218"/>
      <c r="AB12" s="1218"/>
      <c r="AC12" s="1218"/>
      <c r="AD12" s="1219"/>
      <c r="AE12" s="1220" t="s">
        <v>2171</v>
      </c>
      <c r="AF12" s="1223" t="s">
        <v>2045</v>
      </c>
      <c r="AG12" s="1224"/>
      <c r="AH12" s="1228" t="s">
        <v>170</v>
      </c>
      <c r="AI12" s="1229"/>
      <c r="AJ12" s="440" t="s">
        <v>164</v>
      </c>
      <c r="AK12" s="440" t="s">
        <v>168</v>
      </c>
      <c r="AL12" s="441" t="s">
        <v>169</v>
      </c>
      <c r="AM12" s="1298" t="s">
        <v>2147</v>
      </c>
      <c r="AX12" s="1300" t="s">
        <v>2170</v>
      </c>
    </row>
    <row r="13" spans="1:212" ht="127.5" customHeight="1" thickBot="1">
      <c r="A13" s="1292"/>
      <c r="B13" s="1257"/>
      <c r="C13" s="1258"/>
      <c r="D13" s="1258"/>
      <c r="E13" s="1258"/>
      <c r="F13" s="1259"/>
      <c r="G13" s="1261"/>
      <c r="H13" s="442" t="s">
        <v>2205</v>
      </c>
      <c r="I13" s="442" t="s">
        <v>2149</v>
      </c>
      <c r="J13" s="1263"/>
      <c r="K13" s="1279"/>
      <c r="L13" s="1281"/>
      <c r="M13" s="1271"/>
      <c r="N13" s="443" t="s">
        <v>2154</v>
      </c>
      <c r="O13" s="444" t="s">
        <v>1970</v>
      </c>
      <c r="P13" s="443" t="s">
        <v>2062</v>
      </c>
      <c r="Q13" s="444" t="s">
        <v>2216</v>
      </c>
      <c r="R13" s="1225" t="s">
        <v>2217</v>
      </c>
      <c r="S13" s="1226"/>
      <c r="T13" s="1226"/>
      <c r="U13" s="1226"/>
      <c r="V13" s="1226"/>
      <c r="W13" s="1226"/>
      <c r="X13" s="1226"/>
      <c r="Y13" s="1226"/>
      <c r="Z13" s="1226"/>
      <c r="AA13" s="1226"/>
      <c r="AB13" s="1226"/>
      <c r="AC13" s="1227"/>
      <c r="AD13" s="445" t="s">
        <v>2218</v>
      </c>
      <c r="AE13" s="1221"/>
      <c r="AF13" s="446" t="s">
        <v>2046</v>
      </c>
      <c r="AG13" s="447" t="s">
        <v>2047</v>
      </c>
      <c r="AH13" s="448" t="s">
        <v>2151</v>
      </c>
      <c r="AI13" s="447" t="s">
        <v>2152</v>
      </c>
      <c r="AJ13" s="449" t="s">
        <v>163</v>
      </c>
      <c r="AK13" s="449" t="s">
        <v>2157</v>
      </c>
      <c r="AL13" s="450" t="s">
        <v>2263</v>
      </c>
      <c r="AM13" s="1299"/>
      <c r="AN13" s="451"/>
      <c r="AO13" s="452" t="s">
        <v>2053</v>
      </c>
      <c r="AP13" s="452" t="s">
        <v>2027</v>
      </c>
      <c r="AQ13" s="452" t="s">
        <v>2048</v>
      </c>
      <c r="AR13" s="452" t="s">
        <v>2041</v>
      </c>
      <c r="AS13" s="453" t="s">
        <v>2028</v>
      </c>
      <c r="AT13" s="454" t="s">
        <v>2029</v>
      </c>
      <c r="AU13" s="452" t="s">
        <v>2030</v>
      </c>
      <c r="AV13" s="455" t="s">
        <v>2315</v>
      </c>
      <c r="AW13" s="452" t="s">
        <v>2032</v>
      </c>
      <c r="AX13" s="1301"/>
    </row>
    <row r="14" spans="1:212" ht="32.1" customHeight="1">
      <c r="A14" s="1248">
        <v>1</v>
      </c>
      <c r="B14" s="1232" t="str">
        <f>IF(基本情報入力シート!C54="","",基本情報入力シート!C54)</f>
        <v/>
      </c>
      <c r="C14" s="1233"/>
      <c r="D14" s="1233"/>
      <c r="E14" s="1233"/>
      <c r="F14" s="1234"/>
      <c r="G14" s="1251" t="str">
        <f>IF(基本情報入力シート!M54="","",基本情報入力シート!M54)</f>
        <v/>
      </c>
      <c r="H14" s="1251" t="str">
        <f>IF(基本情報入力シート!R54="","",基本情報入力シート!R54)</f>
        <v/>
      </c>
      <c r="I14" s="1251" t="str">
        <f>IF(基本情報入力シート!W54="","",基本情報入力シート!W54)</f>
        <v/>
      </c>
      <c r="J14" s="1251" t="str">
        <f>IF(基本情報入力シート!X54="","",基本情報入力シート!X54)</f>
        <v/>
      </c>
      <c r="K14" s="1272" t="str">
        <f>IF(基本情報入力シート!Y54="","",基本情報入力シート!Y54)</f>
        <v/>
      </c>
      <c r="L14" s="1275" t="str">
        <f>IF(基本情報入力シート!AB54="","",基本情報入力シート!AB54)</f>
        <v/>
      </c>
      <c r="M14" s="456" t="s">
        <v>132</v>
      </c>
      <c r="N14" s="75"/>
      <c r="O14" s="457" t="str">
        <f>IFERROR(VLOOKUP(K14,【参考】数式用!$A$5:$J$37,MATCH(N14,【参考】数式用!$B$4:$J$4,0)+1,0),"")</f>
        <v/>
      </c>
      <c r="P14" s="75"/>
      <c r="Q14" s="457" t="str">
        <f>IFERROR(VLOOKUP(K14,【参考】数式用!$A$5:$J$37,MATCH(P14,【参考】数式用!$B$4:$J$4,0)+1,0),"")</f>
        <v/>
      </c>
      <c r="R14" s="458" t="s">
        <v>15</v>
      </c>
      <c r="S14" s="459">
        <v>6</v>
      </c>
      <c r="T14" s="125" t="s">
        <v>10</v>
      </c>
      <c r="U14" s="39">
        <v>4</v>
      </c>
      <c r="V14" s="125" t="s">
        <v>38</v>
      </c>
      <c r="W14" s="459">
        <v>6</v>
      </c>
      <c r="X14" s="125" t="s">
        <v>10</v>
      </c>
      <c r="Y14" s="39">
        <v>5</v>
      </c>
      <c r="Z14" s="125" t="s">
        <v>13</v>
      </c>
      <c r="AA14" s="460" t="s">
        <v>20</v>
      </c>
      <c r="AB14" s="461">
        <f t="shared" ref="AB14:AB19" si="0">IF(U14&gt;=1,(W14*12+Y14)-(S14*12+U14)+1,"")</f>
        <v>2</v>
      </c>
      <c r="AC14" s="125" t="s">
        <v>33</v>
      </c>
      <c r="AD14" s="462" t="str">
        <f>IFERROR(ROUNDDOWN(ROUND(L14*Q14,0),0)*AB14,"")</f>
        <v/>
      </c>
      <c r="AE14" s="463" t="str">
        <f>IFERROR(ROUNDDOWN(ROUND(L14*(Q14-O14),0),0)*AB14,"")</f>
        <v/>
      </c>
      <c r="AF14" s="464"/>
      <c r="AG14" s="356"/>
      <c r="AH14" s="357"/>
      <c r="AI14" s="358"/>
      <c r="AJ14" s="359"/>
      <c r="AK14" s="360"/>
      <c r="AL14" s="361"/>
      <c r="AM14" s="465" t="str">
        <f>IF(AO14="","",IF(OR(Q14&lt;O14,Q15&lt;O15,Q16&lt;O16),"！加算の要件上は問題ありませんが、令和６年３月と比較して４・５月に加算率が下がる計画になっています。",""))</f>
        <v/>
      </c>
      <c r="AO14" s="466" t="str">
        <f>IF(K14&lt;&gt;"","P列・R列に色付け","")</f>
        <v/>
      </c>
      <c r="AP14" s="467" t="str">
        <f>IFERROR(VLOOKUP(K14,【参考】数式用!$AH$2:$AI$34,2,FALSE),"")</f>
        <v/>
      </c>
      <c r="AQ14" s="468" t="str">
        <f>P14&amp;P15&amp;P16</f>
        <v/>
      </c>
      <c r="AR14" s="467" t="str">
        <f>IF(AF16&lt;&gt;0,IF(AG16="○","入力済","未入力"),"")</f>
        <v/>
      </c>
      <c r="AS14" s="468" t="str">
        <f>IF(OR(P14="処遇加算Ⅰ",P14="処遇加算Ⅱ"),IF(OR(AH14="○",AH14="令和６年度中に満たす"),"入力済","未入力"),"")</f>
        <v/>
      </c>
      <c r="AT14" s="469" t="str">
        <f>IF(P14="処遇加算Ⅲ",IF(AI14="○","入力済","未入力"),"")</f>
        <v/>
      </c>
      <c r="AU14" s="467" t="str">
        <f>IF(P14="処遇加算Ⅰ",IF(OR(AJ14="○",AJ14="令和６年度中に満たす"),"入力済","未入力"),"")</f>
        <v/>
      </c>
      <c r="AV14" s="467" t="str">
        <f>IF(OR(P15="特定加算Ⅰ",P15="特定加算Ⅱ"),1,"")</f>
        <v/>
      </c>
      <c r="AW14" s="452" t="str">
        <f>IF(P15="特定加算Ⅰ",IF(AL15="","未入力","入力済"),"")</f>
        <v/>
      </c>
      <c r="AX14" s="452" t="str">
        <f>G14</f>
        <v/>
      </c>
    </row>
    <row r="15" spans="1:212" ht="32.1" customHeight="1">
      <c r="A15" s="1249"/>
      <c r="B15" s="1235"/>
      <c r="C15" s="1236"/>
      <c r="D15" s="1236"/>
      <c r="E15" s="1236"/>
      <c r="F15" s="1237"/>
      <c r="G15" s="1252"/>
      <c r="H15" s="1252"/>
      <c r="I15" s="1252"/>
      <c r="J15" s="1252"/>
      <c r="K15" s="1273"/>
      <c r="L15" s="1276"/>
      <c r="M15" s="470" t="s">
        <v>121</v>
      </c>
      <c r="N15" s="76"/>
      <c r="O15" s="471" t="str">
        <f>IFERROR(VLOOKUP(K14,【参考】数式用!$A$5:$J$37,MATCH(N15,【参考】数式用!$B$4:$J$4,0)+1,0),"")</f>
        <v/>
      </c>
      <c r="P15" s="76"/>
      <c r="Q15" s="471" t="str">
        <f>IFERROR(VLOOKUP(K14,【参考】数式用!$A$5:$J$37,MATCH(P15,【参考】数式用!$B$4:$J$4,0)+1,0),"")</f>
        <v/>
      </c>
      <c r="R15" s="96" t="s">
        <v>15</v>
      </c>
      <c r="S15" s="472">
        <v>6</v>
      </c>
      <c r="T15" s="97" t="s">
        <v>10</v>
      </c>
      <c r="U15" s="58">
        <v>4</v>
      </c>
      <c r="V15" s="97" t="s">
        <v>38</v>
      </c>
      <c r="W15" s="472">
        <v>6</v>
      </c>
      <c r="X15" s="97" t="s">
        <v>10</v>
      </c>
      <c r="Y15" s="58">
        <v>5</v>
      </c>
      <c r="Z15" s="97" t="s">
        <v>13</v>
      </c>
      <c r="AA15" s="473" t="s">
        <v>20</v>
      </c>
      <c r="AB15" s="474">
        <f t="shared" si="0"/>
        <v>2</v>
      </c>
      <c r="AC15" s="97" t="s">
        <v>33</v>
      </c>
      <c r="AD15" s="475" t="str">
        <f>IFERROR(ROUNDDOWN(ROUND(L14*Q15,0),0)*AB15,"")</f>
        <v/>
      </c>
      <c r="AE15" s="476" t="str">
        <f>IFERROR(ROUNDDOWN(ROUND(L14*(Q15-O15),0),0)*AB15,"")</f>
        <v/>
      </c>
      <c r="AF15" s="477"/>
      <c r="AG15" s="362"/>
      <c r="AH15" s="363"/>
      <c r="AI15" s="364"/>
      <c r="AJ15" s="365"/>
      <c r="AK15" s="366"/>
      <c r="AL15" s="367"/>
      <c r="AM15" s="478" t="str">
        <f>IF(AO14="","",IF(OR(Y14=4,Y15=4,Y16=4),"！算定期間の終わりが令和６年４月になっています。５月に区分を変更する場合は、「基本情報入力シート」で同じ事業所を２行に分けて記入してください。",""))</f>
        <v/>
      </c>
      <c r="AN15" s="479"/>
      <c r="AO15" s="466" t="str">
        <f>IF(K14&lt;&gt;"","P列・R列に色付け","")</f>
        <v/>
      </c>
      <c r="AX15" s="452" t="str">
        <f>G14</f>
        <v/>
      </c>
    </row>
    <row r="16" spans="1:212" ht="32.1" customHeight="1" thickBot="1">
      <c r="A16" s="1250"/>
      <c r="B16" s="1238"/>
      <c r="C16" s="1239"/>
      <c r="D16" s="1239"/>
      <c r="E16" s="1239"/>
      <c r="F16" s="1240"/>
      <c r="G16" s="1253"/>
      <c r="H16" s="1253"/>
      <c r="I16" s="1253"/>
      <c r="J16" s="1253"/>
      <c r="K16" s="1274"/>
      <c r="L16" s="1277"/>
      <c r="M16" s="480" t="s">
        <v>114</v>
      </c>
      <c r="N16" s="77"/>
      <c r="O16" s="481" t="str">
        <f>IFERROR(VLOOKUP(K14,【参考】数式用!$A$5:$J$37,MATCH(N16,【参考】数式用!$B$4:$J$4,0)+1,0),"")</f>
        <v/>
      </c>
      <c r="P16" s="77"/>
      <c r="Q16" s="481" t="str">
        <f>IFERROR(VLOOKUP(K14,【参考】数式用!$A$5:$J$37,MATCH(P16,【参考】数式用!$B$4:$J$4,0)+1,0),"")</f>
        <v/>
      </c>
      <c r="R16" s="482" t="s">
        <v>15</v>
      </c>
      <c r="S16" s="483">
        <v>6</v>
      </c>
      <c r="T16" s="484" t="s">
        <v>10</v>
      </c>
      <c r="U16" s="59">
        <v>4</v>
      </c>
      <c r="V16" s="484" t="s">
        <v>38</v>
      </c>
      <c r="W16" s="483">
        <v>6</v>
      </c>
      <c r="X16" s="484" t="s">
        <v>10</v>
      </c>
      <c r="Y16" s="59">
        <v>5</v>
      </c>
      <c r="Z16" s="484" t="s">
        <v>13</v>
      </c>
      <c r="AA16" s="485" t="s">
        <v>20</v>
      </c>
      <c r="AB16" s="486">
        <f t="shared" si="0"/>
        <v>2</v>
      </c>
      <c r="AC16" s="484" t="s">
        <v>33</v>
      </c>
      <c r="AD16" s="487" t="str">
        <f>IFERROR(ROUNDDOWN(ROUND(L14*Q16,0),0)*AB16,"")</f>
        <v/>
      </c>
      <c r="AE16" s="488" t="str">
        <f>IFERROR(ROUNDDOWN(ROUND(L14*(Q16-O16),0),0)*AB16,"")</f>
        <v/>
      </c>
      <c r="AF16" s="489">
        <f>IF(AND(N16="ベア加算なし",P16="ベア加算"),AD16,0)</f>
        <v>0</v>
      </c>
      <c r="AG16" s="368"/>
      <c r="AH16" s="369"/>
      <c r="AI16" s="370"/>
      <c r="AJ16" s="371"/>
      <c r="AK16" s="372"/>
      <c r="AL16" s="373"/>
      <c r="AM16" s="490"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1" t="str">
        <f>IF(K14&lt;&gt;"","P列・R列に色付け","")</f>
        <v/>
      </c>
      <c r="AP16" s="492"/>
      <c r="AQ16" s="492"/>
      <c r="AW16" s="493"/>
      <c r="AX16" s="452" t="str">
        <f>G14</f>
        <v/>
      </c>
    </row>
    <row r="17" spans="1:50" ht="32.1" customHeight="1">
      <c r="A17" s="1266">
        <v>2</v>
      </c>
      <c r="B17" s="1233" t="str">
        <f>IF(基本情報入力シート!C55="","",基本情報入力シート!C55)</f>
        <v/>
      </c>
      <c r="C17" s="1233"/>
      <c r="D17" s="1233"/>
      <c r="E17" s="1233"/>
      <c r="F17" s="1234"/>
      <c r="G17" s="1251" t="str">
        <f>IF(基本情報入力シート!M55="","",基本情報入力シート!M55)</f>
        <v/>
      </c>
      <c r="H17" s="1251" t="str">
        <f>IF(基本情報入力シート!R55="","",基本情報入力シート!R55)</f>
        <v/>
      </c>
      <c r="I17" s="1251" t="str">
        <f>IF(基本情報入力シート!W55="","",基本情報入力シート!W55)</f>
        <v/>
      </c>
      <c r="J17" s="1251" t="str">
        <f>IF(基本情報入力シート!X55="","",基本情報入力シート!X55)</f>
        <v/>
      </c>
      <c r="K17" s="1272" t="str">
        <f>IF(基本情報入力シート!Y55="","",基本情報入力シート!Y55)</f>
        <v/>
      </c>
      <c r="L17" s="1275" t="str">
        <f>IF(基本情報入力シート!AB55="","",基本情報入力シート!AB55)</f>
        <v/>
      </c>
      <c r="M17" s="494" t="s">
        <v>132</v>
      </c>
      <c r="N17" s="75"/>
      <c r="O17" s="457" t="str">
        <f>IFERROR(VLOOKUP(K17,【参考】数式用!$A$5:$J$37,MATCH(N17,【参考】数式用!$B$4:$J$4,0)+1,0),"")</f>
        <v/>
      </c>
      <c r="P17" s="78"/>
      <c r="Q17" s="457" t="str">
        <f>IFERROR(VLOOKUP(K17,【参考】数式用!$A$5:$J$37,MATCH(P17,【参考】数式用!$B$4:$J$4,0)+1,0),"")</f>
        <v/>
      </c>
      <c r="R17" s="495" t="s">
        <v>15</v>
      </c>
      <c r="S17" s="496">
        <v>6</v>
      </c>
      <c r="T17" s="131" t="s">
        <v>10</v>
      </c>
      <c r="U17" s="68">
        <v>4</v>
      </c>
      <c r="V17" s="131" t="s">
        <v>38</v>
      </c>
      <c r="W17" s="496">
        <v>6</v>
      </c>
      <c r="X17" s="131" t="s">
        <v>10</v>
      </c>
      <c r="Y17" s="68">
        <v>5</v>
      </c>
      <c r="Z17" s="131" t="s">
        <v>13</v>
      </c>
      <c r="AA17" s="497" t="s">
        <v>20</v>
      </c>
      <c r="AB17" s="498">
        <f t="shared" si="0"/>
        <v>2</v>
      </c>
      <c r="AC17" s="131" t="s">
        <v>33</v>
      </c>
      <c r="AD17" s="462" t="str">
        <f t="shared" ref="AD17" si="1">IFERROR(ROUNDDOWN(ROUND(L17*Q17,0),0)*AB17,"")</f>
        <v/>
      </c>
      <c r="AE17" s="463" t="str">
        <f t="shared" ref="AE17" si="2">IFERROR(ROUNDDOWN(ROUND(L17*(Q17-O17),0),0)*AB17,"")</f>
        <v/>
      </c>
      <c r="AF17" s="464"/>
      <c r="AG17" s="374"/>
      <c r="AH17" s="375"/>
      <c r="AI17" s="376"/>
      <c r="AJ17" s="377"/>
      <c r="AK17" s="360"/>
      <c r="AL17" s="378"/>
      <c r="AM17" s="465" t="str">
        <f t="shared" ref="AM17" si="3">IF(AO17="","",IF(Q17&lt;O17,"！加算の要件上は問題ありませんが、令和６年３月と比較して４・５月に加算率が下がる計画になっています。",""))</f>
        <v/>
      </c>
      <c r="AO17" s="466" t="str">
        <f>IF(K17&lt;&gt;"","P列・R列に色付け","")</f>
        <v/>
      </c>
      <c r="AP17" s="467" t="str">
        <f>IFERROR(VLOOKUP(K17,【参考】数式用!$AH$2:$AI$34,2,FALSE),"")</f>
        <v/>
      </c>
      <c r="AQ17" s="469" t="str">
        <f>P17&amp;P18&amp;P19</f>
        <v/>
      </c>
      <c r="AR17" s="467" t="str">
        <f>IF(AF19&lt;&gt;0,IF(AG19="○","入力済","未入力"),"")</f>
        <v/>
      </c>
      <c r="AS17" s="468" t="str">
        <f>IF(OR(P17="処遇加算Ⅰ",P17="処遇加算Ⅱ"),IF(OR(AH17="○",AH17="令和６年度中に満たす"),"入力済","未入力"),"")</f>
        <v/>
      </c>
      <c r="AT17" s="469" t="str">
        <f>IF(P17="処遇加算Ⅲ",IF(AI17="○","入力済","未入力"),"")</f>
        <v/>
      </c>
      <c r="AU17" s="467" t="str">
        <f>IF(P17="処遇加算Ⅰ",IF(OR(AJ17="○",AJ17="令和６年度中に満たす"),"入力済","未入力"),"")</f>
        <v/>
      </c>
      <c r="AV17" s="467" t="str">
        <f t="shared" ref="AV17" si="4">IF(OR(P18="特定加算Ⅰ",P18="特定加算Ⅱ"),1,"")</f>
        <v/>
      </c>
      <c r="AW17" s="452" t="str">
        <f>IF(P18="特定加算Ⅰ",IF(AL18="","未入力","入力済"),"")</f>
        <v/>
      </c>
      <c r="AX17" s="452" t="str">
        <f>G17</f>
        <v/>
      </c>
    </row>
    <row r="18" spans="1:50" ht="32.1" customHeight="1">
      <c r="A18" s="1267"/>
      <c r="B18" s="1236"/>
      <c r="C18" s="1236"/>
      <c r="D18" s="1236"/>
      <c r="E18" s="1236"/>
      <c r="F18" s="1237"/>
      <c r="G18" s="1252"/>
      <c r="H18" s="1252"/>
      <c r="I18" s="1252"/>
      <c r="J18" s="1252"/>
      <c r="K18" s="1273"/>
      <c r="L18" s="1276"/>
      <c r="M18" s="470" t="s">
        <v>121</v>
      </c>
      <c r="N18" s="76"/>
      <c r="O18" s="471" t="str">
        <f>IFERROR(VLOOKUP(K17,【参考】数式用!$A$5:$J$37,MATCH(N18,【参考】数式用!$B$4:$J$4,0)+1,0),"")</f>
        <v/>
      </c>
      <c r="P18" s="76"/>
      <c r="Q18" s="471" t="str">
        <f>IFERROR(VLOOKUP(K17,【参考】数式用!$A$5:$J$37,MATCH(P18,【参考】数式用!$B$4:$J$4,0)+1,0),"")</f>
        <v/>
      </c>
      <c r="R18" s="96" t="s">
        <v>15</v>
      </c>
      <c r="S18" s="472">
        <v>6</v>
      </c>
      <c r="T18" s="97" t="s">
        <v>10</v>
      </c>
      <c r="U18" s="58">
        <v>4</v>
      </c>
      <c r="V18" s="97" t="s">
        <v>38</v>
      </c>
      <c r="W18" s="472">
        <v>6</v>
      </c>
      <c r="X18" s="97" t="s">
        <v>10</v>
      </c>
      <c r="Y18" s="58">
        <v>5</v>
      </c>
      <c r="Z18" s="97" t="s">
        <v>13</v>
      </c>
      <c r="AA18" s="473" t="s">
        <v>20</v>
      </c>
      <c r="AB18" s="474">
        <f t="shared" si="0"/>
        <v>2</v>
      </c>
      <c r="AC18" s="97" t="s">
        <v>33</v>
      </c>
      <c r="AD18" s="475" t="str">
        <f t="shared" ref="AD18" si="5">IFERROR(ROUNDDOWN(ROUND(L17*Q18,0),0)*AB18,"")</f>
        <v/>
      </c>
      <c r="AE18" s="476" t="str">
        <f t="shared" ref="AE18" si="6">IFERROR(ROUNDDOWN(ROUND(L17*(Q18-O18),0),0)*AB18,"")</f>
        <v/>
      </c>
      <c r="AF18" s="477"/>
      <c r="AG18" s="362"/>
      <c r="AH18" s="363"/>
      <c r="AI18" s="364"/>
      <c r="AJ18" s="365"/>
      <c r="AK18" s="366"/>
      <c r="AL18" s="367"/>
      <c r="AM18" s="478"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79"/>
      <c r="AO18" s="466" t="str">
        <f>IF(K17&lt;&gt;"","P列・R列に色付け","")</f>
        <v/>
      </c>
      <c r="AX18" s="452" t="str">
        <f>G17</f>
        <v/>
      </c>
    </row>
    <row r="19" spans="1:50" ht="32.1" customHeight="1" thickBot="1">
      <c r="A19" s="1268"/>
      <c r="B19" s="1239"/>
      <c r="C19" s="1239"/>
      <c r="D19" s="1239"/>
      <c r="E19" s="1239"/>
      <c r="F19" s="1240"/>
      <c r="G19" s="1253"/>
      <c r="H19" s="1253"/>
      <c r="I19" s="1253"/>
      <c r="J19" s="1253"/>
      <c r="K19" s="1274"/>
      <c r="L19" s="1277"/>
      <c r="M19" s="480" t="s">
        <v>114</v>
      </c>
      <c r="N19" s="77"/>
      <c r="O19" s="481" t="str">
        <f>IFERROR(VLOOKUP(K17,【参考】数式用!$A$5:$J$37,MATCH(N19,【参考】数式用!$B$4:$J$4,0)+1,0),"")</f>
        <v/>
      </c>
      <c r="P19" s="77"/>
      <c r="Q19" s="481" t="str">
        <f>IFERROR(VLOOKUP(K17,【参考】数式用!$A$5:$J$37,MATCH(P19,【参考】数式用!$B$4:$J$4,0)+1,0),"")</f>
        <v/>
      </c>
      <c r="R19" s="482" t="s">
        <v>15</v>
      </c>
      <c r="S19" s="483">
        <v>6</v>
      </c>
      <c r="T19" s="484" t="s">
        <v>10</v>
      </c>
      <c r="U19" s="59">
        <v>4</v>
      </c>
      <c r="V19" s="484" t="s">
        <v>38</v>
      </c>
      <c r="W19" s="483">
        <v>6</v>
      </c>
      <c r="X19" s="484" t="s">
        <v>10</v>
      </c>
      <c r="Y19" s="59">
        <v>5</v>
      </c>
      <c r="Z19" s="484" t="s">
        <v>13</v>
      </c>
      <c r="AA19" s="485" t="s">
        <v>20</v>
      </c>
      <c r="AB19" s="486">
        <f t="shared" si="0"/>
        <v>2</v>
      </c>
      <c r="AC19" s="484" t="s">
        <v>33</v>
      </c>
      <c r="AD19" s="487" t="str">
        <f t="shared" ref="AD19" si="8">IFERROR(ROUNDDOWN(ROUND(L17*Q19,0),0)*AB19,"")</f>
        <v/>
      </c>
      <c r="AE19" s="488" t="str">
        <f t="shared" ref="AE19" si="9">IFERROR(ROUNDDOWN(ROUND(L17*(Q19-O19),0),0)*AB19,"")</f>
        <v/>
      </c>
      <c r="AF19" s="489">
        <f>IF(AND(N19="ベア加算なし",P19="ベア加算"),AD19,0)</f>
        <v>0</v>
      </c>
      <c r="AG19" s="368"/>
      <c r="AH19" s="369"/>
      <c r="AI19" s="370"/>
      <c r="AJ19" s="371"/>
      <c r="AK19" s="372"/>
      <c r="AL19" s="373"/>
      <c r="AM19" s="490"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1" t="str">
        <f>IF(K17&lt;&gt;"","P列・R列に色付け","")</f>
        <v/>
      </c>
      <c r="AP19" s="492"/>
      <c r="AQ19" s="492"/>
      <c r="AW19" s="493"/>
      <c r="AX19" s="452" t="str">
        <f>G17</f>
        <v/>
      </c>
    </row>
    <row r="20" spans="1:50" ht="32.1" customHeight="1">
      <c r="A20" s="1293">
        <v>3</v>
      </c>
      <c r="B20" s="1294" t="str">
        <f>IF(基本情報入力シート!C56="","",基本情報入力シート!C56)</f>
        <v/>
      </c>
      <c r="C20" s="1294"/>
      <c r="D20" s="1294"/>
      <c r="E20" s="1294"/>
      <c r="F20" s="1294"/>
      <c r="G20" s="1283" t="str">
        <f>IF(基本情報入力シート!M56="","",基本情報入力シート!M56)</f>
        <v/>
      </c>
      <c r="H20" s="1283" t="str">
        <f>IF(基本情報入力シート!R56="","",基本情報入力シート!R56)</f>
        <v/>
      </c>
      <c r="I20" s="1283" t="str">
        <f>IF(基本情報入力シート!W56="","",基本情報入力シート!W56)</f>
        <v/>
      </c>
      <c r="J20" s="1283" t="str">
        <f>IF(基本情報入力シート!X56="","",基本情報入力シート!X56)</f>
        <v/>
      </c>
      <c r="K20" s="1283" t="str">
        <f>IF(基本情報入力シート!Y56="","",基本情報入力シート!Y56)</f>
        <v/>
      </c>
      <c r="L20" s="1241" t="str">
        <f>IF(基本情報入力シート!AB56="","",基本情報入力シート!AB56)</f>
        <v/>
      </c>
      <c r="M20" s="456" t="s">
        <v>132</v>
      </c>
      <c r="N20" s="75"/>
      <c r="O20" s="457" t="str">
        <f>IFERROR(VLOOKUP(K20,【参考】数式用!$A$5:$J$37,MATCH(N20,【参考】数式用!$B$4:$J$4,0)+1,0),"")</f>
        <v/>
      </c>
      <c r="P20" s="75"/>
      <c r="Q20" s="457" t="str">
        <f>IFERROR(VLOOKUP(K20,【参考】数式用!$A$5:$J$37,MATCH(P20,【参考】数式用!$B$4:$J$4,0)+1,0),"")</f>
        <v/>
      </c>
      <c r="R20" s="458" t="s">
        <v>15</v>
      </c>
      <c r="S20" s="459">
        <v>6</v>
      </c>
      <c r="T20" s="125" t="s">
        <v>10</v>
      </c>
      <c r="U20" s="39">
        <v>4</v>
      </c>
      <c r="V20" s="125" t="s">
        <v>38</v>
      </c>
      <c r="W20" s="459">
        <v>6</v>
      </c>
      <c r="X20" s="125" t="s">
        <v>10</v>
      </c>
      <c r="Y20" s="39">
        <v>5</v>
      </c>
      <c r="Z20" s="125" t="s">
        <v>13</v>
      </c>
      <c r="AA20" s="460" t="s">
        <v>20</v>
      </c>
      <c r="AB20" s="461">
        <f t="shared" ref="AB20:AB34" si="11">IF(U20&gt;=1,(W20*12+Y20)-(S20*12+U20)+1,"")</f>
        <v>2</v>
      </c>
      <c r="AC20" s="125" t="s">
        <v>33</v>
      </c>
      <c r="AD20" s="462" t="str">
        <f t="shared" ref="AD20" si="12">IFERROR(ROUNDDOWN(ROUND(L20*Q20,0),0)*AB20,"")</f>
        <v/>
      </c>
      <c r="AE20" s="463" t="str">
        <f t="shared" ref="AE20" si="13">IFERROR(ROUNDDOWN(ROUND(L20*(Q20-O20),0),0)*AB20,"")</f>
        <v/>
      </c>
      <c r="AF20" s="464"/>
      <c r="AG20" s="374"/>
      <c r="AH20" s="375"/>
      <c r="AI20" s="379"/>
      <c r="AJ20" s="380"/>
      <c r="AK20" s="360"/>
      <c r="AL20" s="361"/>
      <c r="AM20" s="465" t="str">
        <f t="shared" ref="AM20" si="14">IF(AO20="","",IF(Q20&lt;O20,"！加算の要件上は問題ありませんが、令和６年３月と比較して４・５月に加算率が下がる計画になっています。",""))</f>
        <v/>
      </c>
      <c r="AO20" s="466" t="str">
        <f>IF(K20&lt;&gt;"","P列・R列に色付け","")</f>
        <v/>
      </c>
      <c r="AP20" s="467" t="str">
        <f>IFERROR(VLOOKUP(K20,【参考】数式用!$AH$2:$AI$34,2,FALSE),"")</f>
        <v/>
      </c>
      <c r="AQ20" s="469" t="str">
        <f>P20&amp;P21&amp;P22</f>
        <v/>
      </c>
      <c r="AR20" s="467" t="str">
        <f t="shared" ref="AR20" si="15">IF(AF22&lt;&gt;0,IF(AG22="○","入力済","未入力"),"")</f>
        <v/>
      </c>
      <c r="AS20" s="468" t="str">
        <f>IF(OR(P20="処遇加算Ⅰ",P20="処遇加算Ⅱ"),IF(OR(AH20="○",AH20="令和６年度中に満たす"),"入力済","未入力"),"")</f>
        <v/>
      </c>
      <c r="AT20" s="469" t="str">
        <f>IF(P20="処遇加算Ⅲ",IF(AI20="○","入力済","未入力"),"")</f>
        <v/>
      </c>
      <c r="AU20" s="467" t="str">
        <f>IF(P20="処遇加算Ⅰ",IF(OR(AJ20="○",AJ20="令和６年度中に満たす"),"入力済","未入力"),"")</f>
        <v/>
      </c>
      <c r="AV20" s="467" t="str">
        <f t="shared" ref="AV20" si="16">IF(OR(P21="特定加算Ⅰ",P21="特定加算Ⅱ"),1,"")</f>
        <v/>
      </c>
      <c r="AW20" s="452" t="str">
        <f>IF(P21="特定加算Ⅰ",IF(AL21="","未入力","入力済"),"")</f>
        <v/>
      </c>
      <c r="AX20" s="452" t="str">
        <f>G20</f>
        <v/>
      </c>
    </row>
    <row r="21" spans="1:50" ht="32.1" customHeight="1">
      <c r="A21" s="1267"/>
      <c r="B21" s="1204"/>
      <c r="C21" s="1204"/>
      <c r="D21" s="1204"/>
      <c r="E21" s="1204"/>
      <c r="F21" s="1204"/>
      <c r="G21" s="1207"/>
      <c r="H21" s="1207"/>
      <c r="I21" s="1207"/>
      <c r="J21" s="1207"/>
      <c r="K21" s="1207"/>
      <c r="L21" s="1210"/>
      <c r="M21" s="470" t="s">
        <v>121</v>
      </c>
      <c r="N21" s="76"/>
      <c r="O21" s="471" t="str">
        <f>IFERROR(VLOOKUP(K20,【参考】数式用!$A$5:$J$37,MATCH(N21,【参考】数式用!$B$4:$J$4,0)+1,0),"")</f>
        <v/>
      </c>
      <c r="P21" s="76"/>
      <c r="Q21" s="471" t="str">
        <f>IFERROR(VLOOKUP(K20,【参考】数式用!$A$5:$J$37,MATCH(P21,【参考】数式用!$B$4:$J$4,0)+1,0),"")</f>
        <v/>
      </c>
      <c r="R21" s="96" t="s">
        <v>15</v>
      </c>
      <c r="S21" s="472">
        <v>6</v>
      </c>
      <c r="T21" s="97" t="s">
        <v>10</v>
      </c>
      <c r="U21" s="58">
        <v>4</v>
      </c>
      <c r="V21" s="97" t="s">
        <v>38</v>
      </c>
      <c r="W21" s="472">
        <v>6</v>
      </c>
      <c r="X21" s="97" t="s">
        <v>10</v>
      </c>
      <c r="Y21" s="58">
        <v>5</v>
      </c>
      <c r="Z21" s="97" t="s">
        <v>13</v>
      </c>
      <c r="AA21" s="473" t="s">
        <v>20</v>
      </c>
      <c r="AB21" s="474">
        <f>IF(U21&gt;=1,(W21*12+Y21)-(S21*12+U21)+1,"")</f>
        <v>2</v>
      </c>
      <c r="AC21" s="97" t="s">
        <v>33</v>
      </c>
      <c r="AD21" s="475" t="str">
        <f t="shared" ref="AD21" si="17">IFERROR(ROUNDDOWN(ROUND(L20*Q21,0),0)*AB21,"")</f>
        <v/>
      </c>
      <c r="AE21" s="476" t="str">
        <f t="shared" ref="AE21" si="18">IFERROR(ROUNDDOWN(ROUND(L20*(Q21-O21),0),0)*AB21,"")</f>
        <v/>
      </c>
      <c r="AF21" s="477"/>
      <c r="AG21" s="362"/>
      <c r="AH21" s="363"/>
      <c r="AI21" s="364"/>
      <c r="AJ21" s="365"/>
      <c r="AK21" s="366"/>
      <c r="AL21" s="367"/>
      <c r="AM21" s="478"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79"/>
      <c r="AO21" s="466" t="str">
        <f>IF(K20&lt;&gt;"","P列・R列に色付け","")</f>
        <v/>
      </c>
      <c r="AX21" s="452" t="str">
        <f>G20</f>
        <v/>
      </c>
    </row>
    <row r="22" spans="1:50" ht="32.1" customHeight="1" thickBot="1">
      <c r="A22" s="1295"/>
      <c r="B22" s="1285"/>
      <c r="C22" s="1285"/>
      <c r="D22" s="1285"/>
      <c r="E22" s="1285"/>
      <c r="F22" s="1285"/>
      <c r="G22" s="1284"/>
      <c r="H22" s="1284"/>
      <c r="I22" s="1284"/>
      <c r="J22" s="1284"/>
      <c r="K22" s="1284"/>
      <c r="L22" s="1242"/>
      <c r="M22" s="480" t="s">
        <v>114</v>
      </c>
      <c r="N22" s="77"/>
      <c r="O22" s="481" t="str">
        <f>IFERROR(VLOOKUP(K20,【参考】数式用!$A$5:$J$37,MATCH(N22,【参考】数式用!$B$4:$J$4,0)+1,0),"")</f>
        <v/>
      </c>
      <c r="P22" s="77"/>
      <c r="Q22" s="481" t="str">
        <f>IFERROR(VLOOKUP(K20,【参考】数式用!$A$5:$J$37,MATCH(P22,【参考】数式用!$B$4:$J$4,0)+1,0),"")</f>
        <v/>
      </c>
      <c r="R22" s="482" t="s">
        <v>15</v>
      </c>
      <c r="S22" s="483">
        <v>6</v>
      </c>
      <c r="T22" s="484" t="s">
        <v>10</v>
      </c>
      <c r="U22" s="59">
        <v>4</v>
      </c>
      <c r="V22" s="484" t="s">
        <v>38</v>
      </c>
      <c r="W22" s="483">
        <v>6</v>
      </c>
      <c r="X22" s="484" t="s">
        <v>10</v>
      </c>
      <c r="Y22" s="59">
        <v>5</v>
      </c>
      <c r="Z22" s="484" t="s">
        <v>13</v>
      </c>
      <c r="AA22" s="485" t="s">
        <v>20</v>
      </c>
      <c r="AB22" s="486">
        <f t="shared" si="11"/>
        <v>2</v>
      </c>
      <c r="AC22" s="484" t="s">
        <v>33</v>
      </c>
      <c r="AD22" s="487" t="str">
        <f t="shared" ref="AD22" si="20">IFERROR(ROUNDDOWN(ROUND(L20*Q22,0),0)*AB22,"")</f>
        <v/>
      </c>
      <c r="AE22" s="488" t="str">
        <f t="shared" ref="AE22" si="21">IFERROR(ROUNDDOWN(ROUND(L20*(Q22-O22),0),0)*AB22,"")</f>
        <v/>
      </c>
      <c r="AF22" s="489">
        <f t="shared" ref="AF22" si="22">IF(AND(N22="ベア加算なし",P22="ベア加算"),AD22,0)</f>
        <v>0</v>
      </c>
      <c r="AG22" s="381"/>
      <c r="AH22" s="369"/>
      <c r="AI22" s="370"/>
      <c r="AJ22" s="371"/>
      <c r="AK22" s="372"/>
      <c r="AL22" s="373"/>
      <c r="AM22" s="490"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1" t="str">
        <f>IF(K20&lt;&gt;"","P列・R列に色付け","")</f>
        <v/>
      </c>
      <c r="AP22" s="492"/>
      <c r="AQ22" s="492"/>
      <c r="AW22" s="493"/>
      <c r="AX22" s="452" t="str">
        <f>G20</f>
        <v/>
      </c>
    </row>
    <row r="23" spans="1:50" ht="32.1" customHeight="1">
      <c r="A23" s="1266">
        <v>4</v>
      </c>
      <c r="B23" s="1203" t="str">
        <f>IF(基本情報入力シート!C57="","",基本情報入力シート!C57)</f>
        <v/>
      </c>
      <c r="C23" s="1203"/>
      <c r="D23" s="1203"/>
      <c r="E23" s="1203"/>
      <c r="F23" s="1203"/>
      <c r="G23" s="1206" t="str">
        <f>IF(基本情報入力シート!M57="","",基本情報入力シート!M57)</f>
        <v/>
      </c>
      <c r="H23" s="1206" t="str">
        <f>IF(基本情報入力シート!R57="","",基本情報入力シート!R57)</f>
        <v/>
      </c>
      <c r="I23" s="1206" t="str">
        <f>IF(基本情報入力シート!W57="","",基本情報入力シート!W57)</f>
        <v/>
      </c>
      <c r="J23" s="1206" t="str">
        <f>IF(基本情報入力シート!X57="","",基本情報入力シート!X57)</f>
        <v/>
      </c>
      <c r="K23" s="1206" t="str">
        <f>IF(基本情報入力シート!Y57="","",基本情報入力シート!Y57)</f>
        <v/>
      </c>
      <c r="L23" s="1209" t="str">
        <f>IF(基本情報入力シート!AB57="","",基本情報入力シート!AB57)</f>
        <v/>
      </c>
      <c r="M23" s="456" t="s">
        <v>132</v>
      </c>
      <c r="N23" s="75"/>
      <c r="O23" s="457" t="str">
        <f>IFERROR(VLOOKUP(K23,【参考】数式用!$A$5:$J$37,MATCH(N23,【参考】数式用!$B$4:$J$4,0)+1,0),"")</f>
        <v/>
      </c>
      <c r="P23" s="75"/>
      <c r="Q23" s="457" t="str">
        <f>IFERROR(VLOOKUP(K23,【参考】数式用!$A$5:$J$37,MATCH(P23,【参考】数式用!$B$4:$J$4,0)+1,0),"")</f>
        <v/>
      </c>
      <c r="R23" s="458" t="s">
        <v>15</v>
      </c>
      <c r="S23" s="459">
        <v>6</v>
      </c>
      <c r="T23" s="125" t="s">
        <v>10</v>
      </c>
      <c r="U23" s="39">
        <v>4</v>
      </c>
      <c r="V23" s="125" t="s">
        <v>38</v>
      </c>
      <c r="W23" s="459">
        <v>6</v>
      </c>
      <c r="X23" s="125" t="s">
        <v>10</v>
      </c>
      <c r="Y23" s="39">
        <v>5</v>
      </c>
      <c r="Z23" s="125" t="s">
        <v>13</v>
      </c>
      <c r="AA23" s="460" t="s">
        <v>20</v>
      </c>
      <c r="AB23" s="461">
        <f t="shared" si="11"/>
        <v>2</v>
      </c>
      <c r="AC23" s="125" t="s">
        <v>33</v>
      </c>
      <c r="AD23" s="462" t="str">
        <f t="shared" ref="AD23" si="24">IFERROR(ROUNDDOWN(ROUND(L23*Q23,0),0)*AB23,"")</f>
        <v/>
      </c>
      <c r="AE23" s="463" t="str">
        <f t="shared" ref="AE23" si="25">IFERROR(ROUNDDOWN(ROUND(L23*(Q23-O23),0),0)*AB23,"")</f>
        <v/>
      </c>
      <c r="AF23" s="464"/>
      <c r="AG23" s="374"/>
      <c r="AH23" s="375"/>
      <c r="AI23" s="379"/>
      <c r="AJ23" s="380"/>
      <c r="AK23" s="360"/>
      <c r="AL23" s="361"/>
      <c r="AM23" s="465" t="str">
        <f t="shared" ref="AM23" si="26">IF(AO23="","",IF(Q23&lt;O23,"！加算の要件上は問題ありませんが、令和６年３月と比較して４・５月に加算率が下がる計画になっています。",""))</f>
        <v/>
      </c>
      <c r="AO23" s="466" t="str">
        <f>IF(K23&lt;&gt;"","P列・R列に色付け","")</f>
        <v/>
      </c>
      <c r="AP23" s="467" t="str">
        <f>IFERROR(VLOOKUP(K23,【参考】数式用!$AH$2:$AI$34,2,FALSE),"")</f>
        <v/>
      </c>
      <c r="AQ23" s="469" t="str">
        <f>P23&amp;P24&amp;P25</f>
        <v/>
      </c>
      <c r="AR23" s="467" t="str">
        <f t="shared" ref="AR23" si="27">IF(AF25&lt;&gt;0,IF(AG25="○","入力済","未入力"),"")</f>
        <v/>
      </c>
      <c r="AS23" s="468" t="str">
        <f>IF(OR(P23="処遇加算Ⅰ",P23="処遇加算Ⅱ"),IF(OR(AH23="○",AH23="令和６年度中に満たす"),"入力済","未入力"),"")</f>
        <v/>
      </c>
      <c r="AT23" s="469" t="str">
        <f>IF(P23="処遇加算Ⅲ",IF(AI23="○","入力済","未入力"),"")</f>
        <v/>
      </c>
      <c r="AU23" s="467" t="str">
        <f>IF(P23="処遇加算Ⅰ",IF(OR(AJ23="○",AJ23="令和６年度中に満たす"),"入力済","未入力"),"")</f>
        <v/>
      </c>
      <c r="AV23" s="467" t="str">
        <f t="shared" ref="AV23" si="28">IF(OR(P24="特定加算Ⅰ",P24="特定加算Ⅱ"),1,"")</f>
        <v/>
      </c>
      <c r="AW23" s="452" t="str">
        <f>IF(P24="特定加算Ⅰ",IF(AL24="","未入力","入力済"),"")</f>
        <v/>
      </c>
      <c r="AX23" s="452" t="str">
        <f>G23</f>
        <v/>
      </c>
    </row>
    <row r="24" spans="1:50" ht="32.1" customHeight="1">
      <c r="A24" s="1267"/>
      <c r="B24" s="1204"/>
      <c r="C24" s="1204"/>
      <c r="D24" s="1204"/>
      <c r="E24" s="1204"/>
      <c r="F24" s="1204"/>
      <c r="G24" s="1207"/>
      <c r="H24" s="1207"/>
      <c r="I24" s="1207"/>
      <c r="J24" s="1207"/>
      <c r="K24" s="1207"/>
      <c r="L24" s="1210"/>
      <c r="M24" s="470" t="s">
        <v>121</v>
      </c>
      <c r="N24" s="76"/>
      <c r="O24" s="471" t="str">
        <f>IFERROR(VLOOKUP(K23,【参考】数式用!$A$5:$J$37,MATCH(N24,【参考】数式用!$B$4:$J$4,0)+1,0),"")</f>
        <v/>
      </c>
      <c r="P24" s="76"/>
      <c r="Q24" s="471" t="str">
        <f>IFERROR(VLOOKUP(K23,【参考】数式用!$A$5:$J$37,MATCH(P24,【参考】数式用!$B$4:$J$4,0)+1,0),"")</f>
        <v/>
      </c>
      <c r="R24" s="96" t="s">
        <v>15</v>
      </c>
      <c r="S24" s="472">
        <v>6</v>
      </c>
      <c r="T24" s="97" t="s">
        <v>10</v>
      </c>
      <c r="U24" s="58">
        <v>4</v>
      </c>
      <c r="V24" s="97" t="s">
        <v>38</v>
      </c>
      <c r="W24" s="472">
        <v>6</v>
      </c>
      <c r="X24" s="97" t="s">
        <v>10</v>
      </c>
      <c r="Y24" s="58">
        <v>5</v>
      </c>
      <c r="Z24" s="97" t="s">
        <v>13</v>
      </c>
      <c r="AA24" s="473" t="s">
        <v>20</v>
      </c>
      <c r="AB24" s="474">
        <f>IF(U24&gt;=1,(W24*12+Y24)-(S24*12+U24)+1,"")</f>
        <v>2</v>
      </c>
      <c r="AC24" s="97" t="s">
        <v>33</v>
      </c>
      <c r="AD24" s="475" t="str">
        <f t="shared" ref="AD24" si="29">IFERROR(ROUNDDOWN(ROUND(L23*Q24,0),0)*AB24,"")</f>
        <v/>
      </c>
      <c r="AE24" s="476" t="str">
        <f t="shared" ref="AE24" si="30">IFERROR(ROUNDDOWN(ROUND(L23*(Q24-O24),0),0)*AB24,"")</f>
        <v/>
      </c>
      <c r="AF24" s="477"/>
      <c r="AG24" s="362"/>
      <c r="AH24" s="363"/>
      <c r="AI24" s="364"/>
      <c r="AJ24" s="365"/>
      <c r="AK24" s="366"/>
      <c r="AL24" s="367"/>
      <c r="AM24" s="478"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79"/>
      <c r="AO24" s="466" t="str">
        <f>IF(K23&lt;&gt;"","P列・R列に色付け","")</f>
        <v/>
      </c>
      <c r="AX24" s="452" t="str">
        <f>G23</f>
        <v/>
      </c>
    </row>
    <row r="25" spans="1:50" ht="32.1" customHeight="1" thickBot="1">
      <c r="A25" s="1268"/>
      <c r="B25" s="1205"/>
      <c r="C25" s="1205"/>
      <c r="D25" s="1205"/>
      <c r="E25" s="1205"/>
      <c r="F25" s="1205"/>
      <c r="G25" s="1208"/>
      <c r="H25" s="1208"/>
      <c r="I25" s="1208"/>
      <c r="J25" s="1208"/>
      <c r="K25" s="1208"/>
      <c r="L25" s="1211"/>
      <c r="M25" s="480" t="s">
        <v>114</v>
      </c>
      <c r="N25" s="77"/>
      <c r="O25" s="481" t="str">
        <f>IFERROR(VLOOKUP(K23,【参考】数式用!$A$5:$J$37,MATCH(N25,【参考】数式用!$B$4:$J$4,0)+1,0),"")</f>
        <v/>
      </c>
      <c r="P25" s="77"/>
      <c r="Q25" s="481" t="str">
        <f>IFERROR(VLOOKUP(K23,【参考】数式用!$A$5:$J$37,MATCH(P25,【参考】数式用!$B$4:$J$4,0)+1,0),"")</f>
        <v/>
      </c>
      <c r="R25" s="482" t="s">
        <v>15</v>
      </c>
      <c r="S25" s="483">
        <v>6</v>
      </c>
      <c r="T25" s="484" t="s">
        <v>10</v>
      </c>
      <c r="U25" s="59">
        <v>4</v>
      </c>
      <c r="V25" s="484" t="s">
        <v>38</v>
      </c>
      <c r="W25" s="483">
        <v>6</v>
      </c>
      <c r="X25" s="484" t="s">
        <v>10</v>
      </c>
      <c r="Y25" s="59">
        <v>5</v>
      </c>
      <c r="Z25" s="484" t="s">
        <v>13</v>
      </c>
      <c r="AA25" s="485" t="s">
        <v>20</v>
      </c>
      <c r="AB25" s="486">
        <f t="shared" si="11"/>
        <v>2</v>
      </c>
      <c r="AC25" s="484" t="s">
        <v>33</v>
      </c>
      <c r="AD25" s="487" t="str">
        <f t="shared" ref="AD25" si="32">IFERROR(ROUNDDOWN(ROUND(L23*Q25,0),0)*AB25,"")</f>
        <v/>
      </c>
      <c r="AE25" s="488" t="str">
        <f t="shared" ref="AE25" si="33">IFERROR(ROUNDDOWN(ROUND(L23*(Q25-O25),0),0)*AB25,"")</f>
        <v/>
      </c>
      <c r="AF25" s="489">
        <f t="shared" ref="AF25" si="34">IF(AND(N25="ベア加算なし",P25="ベア加算"),AD25,0)</f>
        <v>0</v>
      </c>
      <c r="AG25" s="381"/>
      <c r="AH25" s="369"/>
      <c r="AI25" s="370"/>
      <c r="AJ25" s="371"/>
      <c r="AK25" s="372"/>
      <c r="AL25" s="373"/>
      <c r="AM25" s="490"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1" t="str">
        <f>IF(K23&lt;&gt;"","P列・R列に色付け","")</f>
        <v/>
      </c>
      <c r="AP25" s="492"/>
      <c r="AQ25" s="492"/>
      <c r="AW25" s="493"/>
      <c r="AX25" s="452" t="str">
        <f>G23</f>
        <v/>
      </c>
    </row>
    <row r="26" spans="1:50" ht="32.1" customHeight="1">
      <c r="A26" s="1293">
        <v>5</v>
      </c>
      <c r="B26" s="1294" t="str">
        <f>IF(基本情報入力シート!C58="","",基本情報入力シート!C58)</f>
        <v/>
      </c>
      <c r="C26" s="1294"/>
      <c r="D26" s="1294"/>
      <c r="E26" s="1294"/>
      <c r="F26" s="1294"/>
      <c r="G26" s="1283" t="str">
        <f>IF(基本情報入力シート!M58="","",基本情報入力シート!M58)</f>
        <v/>
      </c>
      <c r="H26" s="1283" t="str">
        <f>IF(基本情報入力シート!R58="","",基本情報入力シート!R58)</f>
        <v/>
      </c>
      <c r="I26" s="1283" t="str">
        <f>IF(基本情報入力シート!W58="","",基本情報入力シート!W58)</f>
        <v/>
      </c>
      <c r="J26" s="1283" t="str">
        <f>IF(基本情報入力シート!X58="","",基本情報入力シート!X58)</f>
        <v/>
      </c>
      <c r="K26" s="1283" t="str">
        <f>IF(基本情報入力シート!Y58="","",基本情報入力シート!Y58)</f>
        <v/>
      </c>
      <c r="L26" s="1241" t="str">
        <f>IF(基本情報入力シート!AB58="","",基本情報入力シート!AB58)</f>
        <v/>
      </c>
      <c r="M26" s="456" t="s">
        <v>132</v>
      </c>
      <c r="N26" s="75"/>
      <c r="O26" s="457" t="str">
        <f>IFERROR(VLOOKUP(K26,【参考】数式用!$A$5:$J$37,MATCH(N26,【参考】数式用!$B$4:$J$4,0)+1,0),"")</f>
        <v/>
      </c>
      <c r="P26" s="75"/>
      <c r="Q26" s="457" t="str">
        <f>IFERROR(VLOOKUP(K26,【参考】数式用!$A$5:$J$37,MATCH(P26,【参考】数式用!$B$4:$J$4,0)+1,0),"")</f>
        <v/>
      </c>
      <c r="R26" s="458" t="s">
        <v>15</v>
      </c>
      <c r="S26" s="459">
        <v>6</v>
      </c>
      <c r="T26" s="125" t="s">
        <v>10</v>
      </c>
      <c r="U26" s="39">
        <v>4</v>
      </c>
      <c r="V26" s="125" t="s">
        <v>38</v>
      </c>
      <c r="W26" s="459">
        <v>6</v>
      </c>
      <c r="X26" s="125" t="s">
        <v>10</v>
      </c>
      <c r="Y26" s="39">
        <v>5</v>
      </c>
      <c r="Z26" s="125" t="s">
        <v>13</v>
      </c>
      <c r="AA26" s="460" t="s">
        <v>20</v>
      </c>
      <c r="AB26" s="461">
        <f t="shared" si="11"/>
        <v>2</v>
      </c>
      <c r="AC26" s="125" t="s">
        <v>33</v>
      </c>
      <c r="AD26" s="462" t="str">
        <f t="shared" ref="AD26" si="36">IFERROR(ROUNDDOWN(ROUND(L26*Q26,0),0)*AB26,"")</f>
        <v/>
      </c>
      <c r="AE26" s="463" t="str">
        <f t="shared" ref="AE26:AE89" si="37">IFERROR(ROUNDDOWN(ROUND(L26*(Q26-O26),0),0)*AB26,"")</f>
        <v/>
      </c>
      <c r="AF26" s="464"/>
      <c r="AG26" s="374"/>
      <c r="AH26" s="382"/>
      <c r="AI26" s="383"/>
      <c r="AJ26" s="380"/>
      <c r="AK26" s="360"/>
      <c r="AL26" s="361"/>
      <c r="AM26" s="465" t="str">
        <f t="shared" ref="AM26" si="38">IF(AO26="","",IF(Q26&lt;O26,"！加算の要件上は問題ありませんが、令和６年３月と比較して４・５月に加算率が下がる計画になっています。",""))</f>
        <v/>
      </c>
      <c r="AO26" s="466" t="str">
        <f>IF(K26&lt;&gt;"","P列・R列に色付け","")</f>
        <v/>
      </c>
      <c r="AP26" s="467" t="str">
        <f>IFERROR(VLOOKUP(K26,【参考】数式用!$AH$2:$AI$34,2,FALSE),"")</f>
        <v/>
      </c>
      <c r="AQ26" s="469" t="str">
        <f>P26&amp;P27&amp;P28</f>
        <v/>
      </c>
      <c r="AR26" s="467" t="str">
        <f t="shared" ref="AR26" si="39">IF(AF28&lt;&gt;0,IF(AG28="○","入力済","未入力"),"")</f>
        <v/>
      </c>
      <c r="AS26" s="468" t="str">
        <f>IF(OR(P26="処遇加算Ⅰ",P26="処遇加算Ⅱ"),IF(OR(AH26="○",AH26="令和６年度中に満たす"),"入力済","未入力"),"")</f>
        <v/>
      </c>
      <c r="AT26" s="469" t="str">
        <f>IF(P26="処遇加算Ⅲ",IF(AI26="○","入力済","未入力"),"")</f>
        <v/>
      </c>
      <c r="AU26" s="467" t="str">
        <f>IF(P26="処遇加算Ⅰ",IF(OR(AJ26="○",AJ26="令和６年度中に満たす"),"入力済","未入力"),"")</f>
        <v/>
      </c>
      <c r="AV26" s="467" t="str">
        <f t="shared" ref="AV26" si="40">IF(OR(P27="特定加算Ⅰ",P27="特定加算Ⅱ"),1,"")</f>
        <v/>
      </c>
      <c r="AW26" s="452" t="str">
        <f>IF(P27="特定加算Ⅰ",IF(AL27="","未入力","入力済"),"")</f>
        <v/>
      </c>
      <c r="AX26" s="452" t="str">
        <f>G26</f>
        <v/>
      </c>
    </row>
    <row r="27" spans="1:50" ht="32.1" customHeight="1">
      <c r="A27" s="1267"/>
      <c r="B27" s="1204"/>
      <c r="C27" s="1204"/>
      <c r="D27" s="1204"/>
      <c r="E27" s="1204"/>
      <c r="F27" s="1204"/>
      <c r="G27" s="1207"/>
      <c r="H27" s="1207"/>
      <c r="I27" s="1207"/>
      <c r="J27" s="1207"/>
      <c r="K27" s="1207"/>
      <c r="L27" s="1210"/>
      <c r="M27" s="470" t="s">
        <v>121</v>
      </c>
      <c r="N27" s="76"/>
      <c r="O27" s="471" t="str">
        <f>IFERROR(VLOOKUP(K26,【参考】数式用!$A$5:$J$37,MATCH(N27,【参考】数式用!$B$4:$J$4,0)+1,0),"")</f>
        <v/>
      </c>
      <c r="P27" s="76"/>
      <c r="Q27" s="471" t="str">
        <f>IFERROR(VLOOKUP(K26,【参考】数式用!$A$5:$J$37,MATCH(P27,【参考】数式用!$B$4:$J$4,0)+1,0),"")</f>
        <v/>
      </c>
      <c r="R27" s="96" t="s">
        <v>15</v>
      </c>
      <c r="S27" s="472">
        <v>6</v>
      </c>
      <c r="T27" s="97" t="s">
        <v>10</v>
      </c>
      <c r="U27" s="58">
        <v>4</v>
      </c>
      <c r="V27" s="97" t="s">
        <v>38</v>
      </c>
      <c r="W27" s="472">
        <v>6</v>
      </c>
      <c r="X27" s="97" t="s">
        <v>10</v>
      </c>
      <c r="Y27" s="58">
        <v>5</v>
      </c>
      <c r="Z27" s="97" t="s">
        <v>13</v>
      </c>
      <c r="AA27" s="473" t="s">
        <v>20</v>
      </c>
      <c r="AB27" s="474">
        <f>IF(U27&gt;=1,(W27*12+Y27)-(S27*12+U27)+1,"")</f>
        <v>2</v>
      </c>
      <c r="AC27" s="97" t="s">
        <v>33</v>
      </c>
      <c r="AD27" s="475" t="str">
        <f t="shared" ref="AD27" si="41">IFERROR(ROUNDDOWN(ROUND(L26*Q27,0),0)*AB27,"")</f>
        <v/>
      </c>
      <c r="AE27" s="476" t="str">
        <f t="shared" ref="AE27:AE90" si="42">IFERROR(ROUNDDOWN(ROUND(L26*(Q27-O27),0),0)*AB27,"")</f>
        <v/>
      </c>
      <c r="AF27" s="477"/>
      <c r="AG27" s="362"/>
      <c r="AH27" s="363"/>
      <c r="AI27" s="364"/>
      <c r="AJ27" s="365"/>
      <c r="AK27" s="366"/>
      <c r="AL27" s="367"/>
      <c r="AM27" s="478"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79"/>
      <c r="AO27" s="466" t="str">
        <f>IF(K26&lt;&gt;"","P列・R列に色付け","")</f>
        <v/>
      </c>
      <c r="AX27" s="452" t="str">
        <f>G26</f>
        <v/>
      </c>
    </row>
    <row r="28" spans="1:50" ht="32.1" customHeight="1" thickBot="1">
      <c r="A28" s="1295"/>
      <c r="B28" s="1285"/>
      <c r="C28" s="1285"/>
      <c r="D28" s="1285"/>
      <c r="E28" s="1285"/>
      <c r="F28" s="1285"/>
      <c r="G28" s="1284"/>
      <c r="H28" s="1284"/>
      <c r="I28" s="1284"/>
      <c r="J28" s="1284"/>
      <c r="K28" s="1284"/>
      <c r="L28" s="1242"/>
      <c r="M28" s="480" t="s">
        <v>114</v>
      </c>
      <c r="N28" s="77"/>
      <c r="O28" s="481" t="str">
        <f>IFERROR(VLOOKUP(K26,【参考】数式用!$A$5:$J$37,MATCH(N28,【参考】数式用!$B$4:$J$4,0)+1,0),"")</f>
        <v/>
      </c>
      <c r="P28" s="77"/>
      <c r="Q28" s="481" t="str">
        <f>IFERROR(VLOOKUP(K26,【参考】数式用!$A$5:$J$37,MATCH(P28,【参考】数式用!$B$4:$J$4,0)+1,0),"")</f>
        <v/>
      </c>
      <c r="R28" s="482" t="s">
        <v>15</v>
      </c>
      <c r="S28" s="483">
        <v>6</v>
      </c>
      <c r="T28" s="484" t="s">
        <v>10</v>
      </c>
      <c r="U28" s="59">
        <v>4</v>
      </c>
      <c r="V28" s="484" t="s">
        <v>38</v>
      </c>
      <c r="W28" s="483">
        <v>6</v>
      </c>
      <c r="X28" s="484" t="s">
        <v>10</v>
      </c>
      <c r="Y28" s="59">
        <v>5</v>
      </c>
      <c r="Z28" s="484" t="s">
        <v>13</v>
      </c>
      <c r="AA28" s="485" t="s">
        <v>20</v>
      </c>
      <c r="AB28" s="486">
        <f t="shared" si="11"/>
        <v>2</v>
      </c>
      <c r="AC28" s="484" t="s">
        <v>33</v>
      </c>
      <c r="AD28" s="487" t="str">
        <f t="shared" ref="AD28" si="44">IFERROR(ROUNDDOWN(ROUND(L26*Q28,0),0)*AB28,"")</f>
        <v/>
      </c>
      <c r="AE28" s="488" t="str">
        <f t="shared" ref="AE28:AE91" si="45">IFERROR(ROUNDDOWN(ROUND(L26*(Q28-O28),0),0)*AB28,"")</f>
        <v/>
      </c>
      <c r="AF28" s="489">
        <f t="shared" ref="AF28" si="46">IF(AND(N28="ベア加算なし",P28="ベア加算"),AD28,0)</f>
        <v>0</v>
      </c>
      <c r="AG28" s="368"/>
      <c r="AH28" s="369"/>
      <c r="AI28" s="370"/>
      <c r="AJ28" s="371"/>
      <c r="AK28" s="372"/>
      <c r="AL28" s="373"/>
      <c r="AM28" s="490"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1" t="str">
        <f>IF(K26&lt;&gt;"","P列・R列に色付け","")</f>
        <v/>
      </c>
      <c r="AP28" s="492"/>
      <c r="AQ28" s="492"/>
      <c r="AW28" s="493"/>
      <c r="AX28" s="452" t="str">
        <f>G26</f>
        <v/>
      </c>
    </row>
    <row r="29" spans="1:50" ht="32.1" customHeight="1">
      <c r="A29" s="1266">
        <v>6</v>
      </c>
      <c r="B29" s="1203" t="str">
        <f>IF(基本情報入力シート!C59="","",基本情報入力シート!C59)</f>
        <v/>
      </c>
      <c r="C29" s="1203"/>
      <c r="D29" s="1203"/>
      <c r="E29" s="1203"/>
      <c r="F29" s="1203"/>
      <c r="G29" s="1206" t="str">
        <f>IF(基本情報入力シート!M59="","",基本情報入力シート!M59)</f>
        <v/>
      </c>
      <c r="H29" s="1206" t="str">
        <f>IF(基本情報入力シート!R59="","",基本情報入力シート!R59)</f>
        <v/>
      </c>
      <c r="I29" s="1206" t="str">
        <f>IF(基本情報入力シート!W59="","",基本情報入力シート!W59)</f>
        <v/>
      </c>
      <c r="J29" s="1206" t="str">
        <f>IF(基本情報入力シート!X59="","",基本情報入力シート!X59)</f>
        <v/>
      </c>
      <c r="K29" s="1206" t="str">
        <f>IF(基本情報入力シート!Y59="","",基本情報入力シート!Y59)</f>
        <v/>
      </c>
      <c r="L29" s="1209" t="str">
        <f>IF(基本情報入力シート!AB59="","",基本情報入力シート!AB59)</f>
        <v/>
      </c>
      <c r="M29" s="456" t="s">
        <v>132</v>
      </c>
      <c r="N29" s="75"/>
      <c r="O29" s="457" t="str">
        <f>IFERROR(VLOOKUP(K29,【参考】数式用!$A$5:$J$37,MATCH(N29,【参考】数式用!$B$4:$J$4,0)+1,0),"")</f>
        <v/>
      </c>
      <c r="P29" s="75"/>
      <c r="Q29" s="457" t="str">
        <f>IFERROR(VLOOKUP(K29,【参考】数式用!$A$5:$J$37,MATCH(P29,【参考】数式用!$B$4:$J$4,0)+1,0),"")</f>
        <v/>
      </c>
      <c r="R29" s="458" t="s">
        <v>15</v>
      </c>
      <c r="S29" s="459">
        <v>6</v>
      </c>
      <c r="T29" s="125" t="s">
        <v>10</v>
      </c>
      <c r="U29" s="39">
        <v>4</v>
      </c>
      <c r="V29" s="125" t="s">
        <v>38</v>
      </c>
      <c r="W29" s="459">
        <v>6</v>
      </c>
      <c r="X29" s="125" t="s">
        <v>10</v>
      </c>
      <c r="Y29" s="39">
        <v>5</v>
      </c>
      <c r="Z29" s="125" t="s">
        <v>13</v>
      </c>
      <c r="AA29" s="460" t="s">
        <v>20</v>
      </c>
      <c r="AB29" s="461">
        <f t="shared" si="11"/>
        <v>2</v>
      </c>
      <c r="AC29" s="125" t="s">
        <v>33</v>
      </c>
      <c r="AD29" s="462" t="str">
        <f t="shared" ref="AD29" si="48">IFERROR(ROUNDDOWN(ROUND(L29*Q29,0),0)*AB29,"")</f>
        <v/>
      </c>
      <c r="AE29" s="463" t="str">
        <f t="shared" ref="AE29:AE92" si="49">IFERROR(ROUNDDOWN(ROUND(L29*(Q29-O29),0),0)*AB29,"")</f>
        <v/>
      </c>
      <c r="AF29" s="464"/>
      <c r="AG29" s="374"/>
      <c r="AH29" s="382"/>
      <c r="AI29" s="379"/>
      <c r="AJ29" s="380"/>
      <c r="AK29" s="360"/>
      <c r="AL29" s="361"/>
      <c r="AM29" s="465" t="str">
        <f t="shared" ref="AM29" si="50">IF(AO29="","",IF(Q29&lt;O29,"！加算の要件上は問題ありませんが、令和６年３月と比較して４・５月に加算率が下がる計画になっています。",""))</f>
        <v/>
      </c>
      <c r="AO29" s="466" t="str">
        <f>IF(K29&lt;&gt;"","P列・R列に色付け","")</f>
        <v/>
      </c>
      <c r="AP29" s="467" t="str">
        <f>IFERROR(VLOOKUP(K29,【参考】数式用!$AH$2:$AI$34,2,FALSE),"")</f>
        <v/>
      </c>
      <c r="AQ29" s="469" t="str">
        <f>P29&amp;P30&amp;P31</f>
        <v/>
      </c>
      <c r="AR29" s="467" t="str">
        <f t="shared" ref="AR29" si="51">IF(AF31&lt;&gt;0,IF(AG31="○","入力済","未入力"),"")</f>
        <v/>
      </c>
      <c r="AS29" s="468" t="str">
        <f>IF(OR(P29="処遇加算Ⅰ",P29="処遇加算Ⅱ"),IF(OR(AH29="○",AH29="令和６年度中に満たす"),"入力済","未入力"),"")</f>
        <v/>
      </c>
      <c r="AT29" s="469" t="str">
        <f>IF(P29="処遇加算Ⅲ",IF(AI29="○","入力済","未入力"),"")</f>
        <v/>
      </c>
      <c r="AU29" s="467" t="str">
        <f>IF(P29="処遇加算Ⅰ",IF(OR(AJ29="○",AJ29="令和６年度中に満たす"),"入力済","未入力"),"")</f>
        <v/>
      </c>
      <c r="AV29" s="467" t="str">
        <f t="shared" ref="AV29" si="52">IF(OR(P30="特定加算Ⅰ",P30="特定加算Ⅱ"),1,"")</f>
        <v/>
      </c>
      <c r="AW29" s="452" t="str">
        <f>IF(P30="特定加算Ⅰ",IF(AL30="","未入力","入力済"),"")</f>
        <v/>
      </c>
      <c r="AX29" s="452" t="str">
        <f>G29</f>
        <v/>
      </c>
    </row>
    <row r="30" spans="1:50" ht="32.1" customHeight="1">
      <c r="A30" s="1267"/>
      <c r="B30" s="1204"/>
      <c r="C30" s="1204"/>
      <c r="D30" s="1204"/>
      <c r="E30" s="1204"/>
      <c r="F30" s="1204"/>
      <c r="G30" s="1207"/>
      <c r="H30" s="1207"/>
      <c r="I30" s="1207"/>
      <c r="J30" s="1207"/>
      <c r="K30" s="1207"/>
      <c r="L30" s="1210"/>
      <c r="M30" s="470" t="s">
        <v>121</v>
      </c>
      <c r="N30" s="76"/>
      <c r="O30" s="471" t="str">
        <f>IFERROR(VLOOKUP(K29,【参考】数式用!$A$5:$J$37,MATCH(N30,【参考】数式用!$B$4:$J$4,0)+1,0),"")</f>
        <v/>
      </c>
      <c r="P30" s="76"/>
      <c r="Q30" s="471" t="str">
        <f>IFERROR(VLOOKUP(K29,【参考】数式用!$A$5:$J$37,MATCH(P30,【参考】数式用!$B$4:$J$4,0)+1,0),"")</f>
        <v/>
      </c>
      <c r="R30" s="96" t="s">
        <v>15</v>
      </c>
      <c r="S30" s="472">
        <v>6</v>
      </c>
      <c r="T30" s="97" t="s">
        <v>10</v>
      </c>
      <c r="U30" s="58">
        <v>4</v>
      </c>
      <c r="V30" s="97" t="s">
        <v>38</v>
      </c>
      <c r="W30" s="472">
        <v>6</v>
      </c>
      <c r="X30" s="97" t="s">
        <v>10</v>
      </c>
      <c r="Y30" s="58">
        <v>5</v>
      </c>
      <c r="Z30" s="97" t="s">
        <v>13</v>
      </c>
      <c r="AA30" s="473" t="s">
        <v>20</v>
      </c>
      <c r="AB30" s="474">
        <f t="shared" si="11"/>
        <v>2</v>
      </c>
      <c r="AC30" s="97" t="s">
        <v>33</v>
      </c>
      <c r="AD30" s="475" t="str">
        <f t="shared" ref="AD30" si="53">IFERROR(ROUNDDOWN(ROUND(L29*Q30,0),0)*AB30,"")</f>
        <v/>
      </c>
      <c r="AE30" s="476" t="str">
        <f t="shared" ref="AE30:AE93" si="54">IFERROR(ROUNDDOWN(ROUND(L29*(Q30-O30),0),0)*AB30,"")</f>
        <v/>
      </c>
      <c r="AF30" s="477"/>
      <c r="AG30" s="362"/>
      <c r="AH30" s="363"/>
      <c r="AI30" s="364"/>
      <c r="AJ30" s="365"/>
      <c r="AK30" s="366"/>
      <c r="AL30" s="367"/>
      <c r="AM30" s="478"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79"/>
      <c r="AO30" s="466" t="str">
        <f>IF(K29&lt;&gt;"","P列・R列に色付け","")</f>
        <v/>
      </c>
      <c r="AX30" s="452" t="str">
        <f>G29</f>
        <v/>
      </c>
    </row>
    <row r="31" spans="1:50" ht="32.1" customHeight="1" thickBot="1">
      <c r="A31" s="1268"/>
      <c r="B31" s="1205"/>
      <c r="C31" s="1205"/>
      <c r="D31" s="1205"/>
      <c r="E31" s="1205"/>
      <c r="F31" s="1205"/>
      <c r="G31" s="1208"/>
      <c r="H31" s="1208"/>
      <c r="I31" s="1208"/>
      <c r="J31" s="1208"/>
      <c r="K31" s="1208"/>
      <c r="L31" s="1211"/>
      <c r="M31" s="494" t="s">
        <v>114</v>
      </c>
      <c r="N31" s="79"/>
      <c r="O31" s="481" t="str">
        <f>IFERROR(VLOOKUP(K29,【参考】数式用!$A$5:$J$37,MATCH(N31,【参考】数式用!$B$4:$J$4,0)+1,0),"")</f>
        <v/>
      </c>
      <c r="P31" s="79"/>
      <c r="Q31" s="481" t="str">
        <f>IFERROR(VLOOKUP(K29,【参考】数式用!$A$5:$J$37,MATCH(P31,【参考】数式用!$B$4:$J$4,0)+1,0),"")</f>
        <v/>
      </c>
      <c r="R31" s="499" t="s">
        <v>15</v>
      </c>
      <c r="S31" s="500">
        <v>6</v>
      </c>
      <c r="T31" s="134" t="s">
        <v>10</v>
      </c>
      <c r="U31" s="69">
        <v>4</v>
      </c>
      <c r="V31" s="134" t="s">
        <v>38</v>
      </c>
      <c r="W31" s="500">
        <v>6</v>
      </c>
      <c r="X31" s="134" t="s">
        <v>10</v>
      </c>
      <c r="Y31" s="69">
        <v>5</v>
      </c>
      <c r="Z31" s="134" t="s">
        <v>13</v>
      </c>
      <c r="AA31" s="501" t="s">
        <v>20</v>
      </c>
      <c r="AB31" s="502">
        <f t="shared" si="11"/>
        <v>2</v>
      </c>
      <c r="AC31" s="134" t="s">
        <v>33</v>
      </c>
      <c r="AD31" s="487" t="str">
        <f t="shared" ref="AD31" si="56">IFERROR(ROUNDDOWN(ROUND(L29*Q31,0),0)*AB31,"")</f>
        <v/>
      </c>
      <c r="AE31" s="488" t="str">
        <f t="shared" ref="AE31:AE94" si="57">IFERROR(ROUNDDOWN(ROUND(L29*(Q31-O31),0),0)*AB31,"")</f>
        <v/>
      </c>
      <c r="AF31" s="489">
        <f t="shared" ref="AF31" si="58">IF(AND(N31="ベア加算なし",P31="ベア加算"),AD31,0)</f>
        <v>0</v>
      </c>
      <c r="AG31" s="368"/>
      <c r="AH31" s="369"/>
      <c r="AI31" s="370"/>
      <c r="AJ31" s="371"/>
      <c r="AK31" s="372"/>
      <c r="AL31" s="373"/>
      <c r="AM31" s="490"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1" t="str">
        <f>IF(K29&lt;&gt;"","P列・R列に色付け","")</f>
        <v/>
      </c>
      <c r="AP31" s="492"/>
      <c r="AQ31" s="492"/>
      <c r="AW31" s="493"/>
      <c r="AX31" s="452" t="str">
        <f>G29</f>
        <v/>
      </c>
    </row>
    <row r="32" spans="1:50" ht="32.1" customHeight="1">
      <c r="A32" s="1266">
        <v>7</v>
      </c>
      <c r="B32" s="1203" t="str">
        <f>IF(基本情報入力シート!C60="","",基本情報入力シート!C60)</f>
        <v/>
      </c>
      <c r="C32" s="1203"/>
      <c r="D32" s="1203"/>
      <c r="E32" s="1203"/>
      <c r="F32" s="1203"/>
      <c r="G32" s="1206" t="str">
        <f>IF(基本情報入力シート!M60="","",基本情報入力シート!M60)</f>
        <v/>
      </c>
      <c r="H32" s="1206" t="str">
        <f>IF(基本情報入力シート!R60="","",基本情報入力シート!R60)</f>
        <v/>
      </c>
      <c r="I32" s="1206" t="str">
        <f>IF(基本情報入力シート!W60="","",基本情報入力シート!W60)</f>
        <v/>
      </c>
      <c r="J32" s="1206" t="str">
        <f>IF(基本情報入力シート!X60="","",基本情報入力シート!X60)</f>
        <v/>
      </c>
      <c r="K32" s="1206" t="str">
        <f>IF(基本情報入力シート!Y60="","",基本情報入力シート!Y60)</f>
        <v/>
      </c>
      <c r="L32" s="1209" t="str">
        <f>IF(基本情報入力シート!AB60="","",基本情報入力シート!AB60)</f>
        <v/>
      </c>
      <c r="M32" s="456" t="s">
        <v>132</v>
      </c>
      <c r="N32" s="75"/>
      <c r="O32" s="457" t="str">
        <f>IFERROR(VLOOKUP(K32,【参考】数式用!$A$5:$J$37,MATCH(N32,【参考】数式用!$B$4:$J$4,0)+1,0),"")</f>
        <v/>
      </c>
      <c r="P32" s="75"/>
      <c r="Q32" s="457" t="str">
        <f>IFERROR(VLOOKUP(K32,【参考】数式用!$A$5:$J$37,MATCH(P32,【参考】数式用!$B$4:$J$4,0)+1,0),"")</f>
        <v/>
      </c>
      <c r="R32" s="458" t="s">
        <v>15</v>
      </c>
      <c r="S32" s="459">
        <v>6</v>
      </c>
      <c r="T32" s="125" t="s">
        <v>10</v>
      </c>
      <c r="U32" s="39">
        <v>4</v>
      </c>
      <c r="V32" s="125" t="s">
        <v>38</v>
      </c>
      <c r="W32" s="459">
        <v>6</v>
      </c>
      <c r="X32" s="125" t="s">
        <v>10</v>
      </c>
      <c r="Y32" s="39">
        <v>5</v>
      </c>
      <c r="Z32" s="125" t="s">
        <v>13</v>
      </c>
      <c r="AA32" s="460" t="s">
        <v>20</v>
      </c>
      <c r="AB32" s="461">
        <f t="shared" si="11"/>
        <v>2</v>
      </c>
      <c r="AC32" s="125" t="s">
        <v>33</v>
      </c>
      <c r="AD32" s="462" t="str">
        <f t="shared" ref="AD32" si="60">IFERROR(ROUNDDOWN(ROUND(L32*Q32,0),0)*AB32,"")</f>
        <v/>
      </c>
      <c r="AE32" s="463" t="str">
        <f t="shared" ref="AE32" si="61">IFERROR(ROUNDDOWN(ROUND(L32*(Q32-O32),0),0)*AB32,"")</f>
        <v/>
      </c>
      <c r="AF32" s="464"/>
      <c r="AG32" s="374"/>
      <c r="AH32" s="382"/>
      <c r="AI32" s="379"/>
      <c r="AJ32" s="380"/>
      <c r="AK32" s="360"/>
      <c r="AL32" s="361"/>
      <c r="AM32" s="465" t="str">
        <f t="shared" ref="AM32" si="62">IF(AO32="","",IF(Q32&lt;O32,"！加算の要件上は問題ありませんが、令和６年３月と比較して４・５月に加算率が下がる計画になっています。",""))</f>
        <v/>
      </c>
      <c r="AO32" s="466" t="str">
        <f>IF(K32&lt;&gt;"","P列・R列に色付け","")</f>
        <v/>
      </c>
      <c r="AP32" s="467" t="str">
        <f>IFERROR(VLOOKUP(K32,【参考】数式用!$AH$2:$AI$34,2,FALSE),"")</f>
        <v/>
      </c>
      <c r="AQ32" s="469" t="str">
        <f>P32&amp;P33&amp;P34</f>
        <v/>
      </c>
      <c r="AR32" s="467" t="str">
        <f t="shared" ref="AR32" si="63">IF(AF34&lt;&gt;0,IF(AG34="○","入力済","未入力"),"")</f>
        <v/>
      </c>
      <c r="AS32" s="468" t="str">
        <f>IF(OR(P32="処遇加算Ⅰ",P32="処遇加算Ⅱ"),IF(OR(AH32="○",AH32="令和６年度中に満たす"),"入力済","未入力"),"")</f>
        <v/>
      </c>
      <c r="AT32" s="469" t="str">
        <f>IF(P32="処遇加算Ⅲ",IF(AI32="○","入力済","未入力"),"")</f>
        <v/>
      </c>
      <c r="AU32" s="467" t="str">
        <f>IF(P32="処遇加算Ⅰ",IF(OR(AJ32="○",AJ32="令和６年度中に満たす"),"入力済","未入力"),"")</f>
        <v/>
      </c>
      <c r="AV32" s="467" t="str">
        <f t="shared" ref="AV32" si="64">IF(OR(P33="特定加算Ⅰ",P33="特定加算Ⅱ"),1,"")</f>
        <v/>
      </c>
      <c r="AW32" s="452" t="str">
        <f>IF(P33="特定加算Ⅰ",IF(AL33="","未入力","入力済"),"")</f>
        <v/>
      </c>
      <c r="AX32" s="452" t="str">
        <f>G32</f>
        <v/>
      </c>
    </row>
    <row r="33" spans="1:50" ht="32.1" customHeight="1">
      <c r="A33" s="1267"/>
      <c r="B33" s="1204"/>
      <c r="C33" s="1204"/>
      <c r="D33" s="1204"/>
      <c r="E33" s="1204"/>
      <c r="F33" s="1204"/>
      <c r="G33" s="1207"/>
      <c r="H33" s="1207"/>
      <c r="I33" s="1207"/>
      <c r="J33" s="1207"/>
      <c r="K33" s="1207"/>
      <c r="L33" s="1210"/>
      <c r="M33" s="470" t="s">
        <v>121</v>
      </c>
      <c r="N33" s="76"/>
      <c r="O33" s="471" t="str">
        <f>IFERROR(VLOOKUP(K32,【参考】数式用!$A$5:$J$37,MATCH(N33,【参考】数式用!$B$4:$J$4,0)+1,0),"")</f>
        <v/>
      </c>
      <c r="P33" s="76"/>
      <c r="Q33" s="471" t="str">
        <f>IFERROR(VLOOKUP(K32,【参考】数式用!$A$5:$J$37,MATCH(P33,【参考】数式用!$B$4:$J$4,0)+1,0),"")</f>
        <v/>
      </c>
      <c r="R33" s="96" t="s">
        <v>15</v>
      </c>
      <c r="S33" s="472">
        <v>6</v>
      </c>
      <c r="T33" s="97" t="s">
        <v>10</v>
      </c>
      <c r="U33" s="58">
        <v>4</v>
      </c>
      <c r="V33" s="97" t="s">
        <v>38</v>
      </c>
      <c r="W33" s="472">
        <v>6</v>
      </c>
      <c r="X33" s="97" t="s">
        <v>10</v>
      </c>
      <c r="Y33" s="58">
        <v>5</v>
      </c>
      <c r="Z33" s="97" t="s">
        <v>13</v>
      </c>
      <c r="AA33" s="473" t="s">
        <v>20</v>
      </c>
      <c r="AB33" s="474">
        <f t="shared" si="11"/>
        <v>2</v>
      </c>
      <c r="AC33" s="97" t="s">
        <v>33</v>
      </c>
      <c r="AD33" s="475" t="str">
        <f t="shared" ref="AD33" si="65">IFERROR(ROUNDDOWN(ROUND(L32*Q33,0),0)*AB33,"")</f>
        <v/>
      </c>
      <c r="AE33" s="476" t="str">
        <f t="shared" ref="AE33" si="66">IFERROR(ROUNDDOWN(ROUND(L32*(Q33-O33),0),0)*AB33,"")</f>
        <v/>
      </c>
      <c r="AF33" s="477"/>
      <c r="AG33" s="362"/>
      <c r="AH33" s="363"/>
      <c r="AI33" s="364"/>
      <c r="AJ33" s="365"/>
      <c r="AK33" s="366"/>
      <c r="AL33" s="367"/>
      <c r="AM33" s="478"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79"/>
      <c r="AO33" s="466" t="str">
        <f>IF(K32&lt;&gt;"","P列・R列に色付け","")</f>
        <v/>
      </c>
      <c r="AX33" s="452" t="str">
        <f>G32</f>
        <v/>
      </c>
    </row>
    <row r="34" spans="1:50" ht="32.1" customHeight="1" thickBot="1">
      <c r="A34" s="1268"/>
      <c r="B34" s="1205"/>
      <c r="C34" s="1205"/>
      <c r="D34" s="1205"/>
      <c r="E34" s="1205"/>
      <c r="F34" s="1205"/>
      <c r="G34" s="1208"/>
      <c r="H34" s="1208"/>
      <c r="I34" s="1208"/>
      <c r="J34" s="1208"/>
      <c r="K34" s="1208"/>
      <c r="L34" s="1211"/>
      <c r="M34" s="480" t="s">
        <v>114</v>
      </c>
      <c r="N34" s="79"/>
      <c r="O34" s="481" t="str">
        <f>IFERROR(VLOOKUP(K32,【参考】数式用!$A$5:$J$37,MATCH(N34,【参考】数式用!$B$4:$J$4,0)+1,0),"")</f>
        <v/>
      </c>
      <c r="P34" s="77"/>
      <c r="Q34" s="481" t="str">
        <f>IFERROR(VLOOKUP(K32,【参考】数式用!$A$5:$J$37,MATCH(P34,【参考】数式用!$B$4:$J$4,0)+1,0),"")</f>
        <v/>
      </c>
      <c r="R34" s="482" t="s">
        <v>15</v>
      </c>
      <c r="S34" s="483">
        <v>6</v>
      </c>
      <c r="T34" s="484" t="s">
        <v>10</v>
      </c>
      <c r="U34" s="59">
        <v>4</v>
      </c>
      <c r="V34" s="484" t="s">
        <v>38</v>
      </c>
      <c r="W34" s="483">
        <v>6</v>
      </c>
      <c r="X34" s="484" t="s">
        <v>10</v>
      </c>
      <c r="Y34" s="59">
        <v>5</v>
      </c>
      <c r="Z34" s="484" t="s">
        <v>13</v>
      </c>
      <c r="AA34" s="485" t="s">
        <v>20</v>
      </c>
      <c r="AB34" s="486">
        <f t="shared" si="11"/>
        <v>2</v>
      </c>
      <c r="AC34" s="484" t="s">
        <v>33</v>
      </c>
      <c r="AD34" s="487" t="str">
        <f t="shared" ref="AD34" si="68">IFERROR(ROUNDDOWN(ROUND(L32*Q34,0),0)*AB34,"")</f>
        <v/>
      </c>
      <c r="AE34" s="488" t="str">
        <f t="shared" ref="AE34" si="69">IFERROR(ROUNDDOWN(ROUND(L32*(Q34-O34),0),0)*AB34,"")</f>
        <v/>
      </c>
      <c r="AF34" s="489">
        <f t="shared" ref="AF34" si="70">IF(AND(N34="ベア加算なし",P34="ベア加算"),AD34,0)</f>
        <v>0</v>
      </c>
      <c r="AG34" s="368"/>
      <c r="AH34" s="369"/>
      <c r="AI34" s="370"/>
      <c r="AJ34" s="371"/>
      <c r="AK34" s="372"/>
      <c r="AL34" s="373"/>
      <c r="AM34" s="490"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1" t="str">
        <f>IF(K32&lt;&gt;"","P列・R列に色付け","")</f>
        <v/>
      </c>
      <c r="AP34" s="492"/>
      <c r="AQ34" s="492"/>
      <c r="AW34" s="493"/>
      <c r="AX34" s="452" t="str">
        <f>G32</f>
        <v/>
      </c>
    </row>
    <row r="35" spans="1:50" ht="32.1" customHeight="1">
      <c r="A35" s="1266">
        <v>8</v>
      </c>
      <c r="B35" s="1203" t="str">
        <f>IF(基本情報入力シート!C61="","",基本情報入力シート!C61)</f>
        <v/>
      </c>
      <c r="C35" s="1203"/>
      <c r="D35" s="1203"/>
      <c r="E35" s="1203"/>
      <c r="F35" s="1203"/>
      <c r="G35" s="1206" t="str">
        <f>IF(基本情報入力シート!M61="","",基本情報入力シート!M61)</f>
        <v/>
      </c>
      <c r="H35" s="1206" t="str">
        <f>IF(基本情報入力シート!R61="","",基本情報入力シート!R61)</f>
        <v/>
      </c>
      <c r="I35" s="1206" t="str">
        <f>IF(基本情報入力シート!W61="","",基本情報入力シート!W61)</f>
        <v/>
      </c>
      <c r="J35" s="1206" t="str">
        <f>IF(基本情報入力シート!X61="","",基本情報入力シート!X61)</f>
        <v/>
      </c>
      <c r="K35" s="1206" t="str">
        <f>IF(基本情報入力シート!Y61="","",基本情報入力シート!Y61)</f>
        <v/>
      </c>
      <c r="L35" s="1209" t="str">
        <f>IF(基本情報入力シート!AB61="","",基本情報入力シート!AB61)</f>
        <v/>
      </c>
      <c r="M35" s="456" t="s">
        <v>132</v>
      </c>
      <c r="N35" s="75"/>
      <c r="O35" s="457" t="str">
        <f>IFERROR(VLOOKUP(K35,【参考】数式用!$A$5:$J$37,MATCH(N35,【参考】数式用!$B$4:$J$4,0)+1,0),"")</f>
        <v/>
      </c>
      <c r="P35" s="75"/>
      <c r="Q35" s="457" t="str">
        <f>IFERROR(VLOOKUP(K35,【参考】数式用!$A$5:$J$37,MATCH(P35,【参考】数式用!$B$4:$J$4,0)+1,0),"")</f>
        <v/>
      </c>
      <c r="R35" s="458" t="s">
        <v>15</v>
      </c>
      <c r="S35" s="459">
        <v>6</v>
      </c>
      <c r="T35" s="125" t="s">
        <v>10</v>
      </c>
      <c r="U35" s="39">
        <v>4</v>
      </c>
      <c r="V35" s="125" t="s">
        <v>38</v>
      </c>
      <c r="W35" s="459">
        <v>6</v>
      </c>
      <c r="X35" s="125" t="s">
        <v>10</v>
      </c>
      <c r="Y35" s="39">
        <v>5</v>
      </c>
      <c r="Z35" s="125" t="s">
        <v>13</v>
      </c>
      <c r="AA35" s="460" t="s">
        <v>20</v>
      </c>
      <c r="AB35" s="461">
        <f t="shared" ref="AB35:AB46" si="72">IF(U35&gt;=1,(W35*12+Y35)-(S35*12+U35)+1,"")</f>
        <v>2</v>
      </c>
      <c r="AC35" s="125" t="s">
        <v>33</v>
      </c>
      <c r="AD35" s="462" t="str">
        <f t="shared" ref="AD35" si="73">IFERROR(ROUNDDOWN(ROUND(L35*Q35,0),0)*AB35,"")</f>
        <v/>
      </c>
      <c r="AE35" s="463" t="str">
        <f t="shared" si="37"/>
        <v/>
      </c>
      <c r="AF35" s="464"/>
      <c r="AG35" s="374"/>
      <c r="AH35" s="382"/>
      <c r="AI35" s="379"/>
      <c r="AJ35" s="380"/>
      <c r="AK35" s="360"/>
      <c r="AL35" s="361"/>
      <c r="AM35" s="465" t="str">
        <f t="shared" ref="AM35" si="74">IF(AO35="","",IF(Q35&lt;O35,"！加算の要件上は問題ありませんが、令和６年３月と比較して４・５月に加算率が下がる計画になっています。",""))</f>
        <v/>
      </c>
      <c r="AO35" s="466" t="str">
        <f>IF(K35&lt;&gt;"","P列・R列に色付け","")</f>
        <v/>
      </c>
      <c r="AP35" s="467" t="str">
        <f>IFERROR(VLOOKUP(K35,【参考】数式用!$AH$2:$AI$34,2,FALSE),"")</f>
        <v/>
      </c>
      <c r="AQ35" s="469" t="str">
        <f>P35&amp;P36&amp;P37</f>
        <v/>
      </c>
      <c r="AR35" s="467" t="str">
        <f t="shared" ref="AR35" si="75">IF(AF37&lt;&gt;0,IF(AG37="○","入力済","未入力"),"")</f>
        <v/>
      </c>
      <c r="AS35" s="468" t="str">
        <f>IF(OR(P35="処遇加算Ⅰ",P35="処遇加算Ⅱ"),IF(OR(AH35="○",AH35="令和６年度中に満たす"),"入力済","未入力"),"")</f>
        <v/>
      </c>
      <c r="AT35" s="469" t="str">
        <f>IF(P35="処遇加算Ⅲ",IF(AI35="○","入力済","未入力"),"")</f>
        <v/>
      </c>
      <c r="AU35" s="467" t="str">
        <f>IF(P35="処遇加算Ⅰ",IF(OR(AJ35="○",AJ35="令和６年度中に満たす"),"入力済","未入力"),"")</f>
        <v/>
      </c>
      <c r="AV35" s="467" t="str">
        <f t="shared" ref="AV35" si="76">IF(OR(P36="特定加算Ⅰ",P36="特定加算Ⅱ"),1,"")</f>
        <v/>
      </c>
      <c r="AW35" s="452" t="str">
        <f>IF(P36="特定加算Ⅰ",IF(AL36="","未入力","入力済"),"")</f>
        <v/>
      </c>
      <c r="AX35" s="452" t="str">
        <f>G35</f>
        <v/>
      </c>
    </row>
    <row r="36" spans="1:50" ht="32.1" customHeight="1">
      <c r="A36" s="1267"/>
      <c r="B36" s="1204"/>
      <c r="C36" s="1204"/>
      <c r="D36" s="1204"/>
      <c r="E36" s="1204"/>
      <c r="F36" s="1204"/>
      <c r="G36" s="1207"/>
      <c r="H36" s="1207"/>
      <c r="I36" s="1207"/>
      <c r="J36" s="1207"/>
      <c r="K36" s="1207"/>
      <c r="L36" s="1210"/>
      <c r="M36" s="470" t="s">
        <v>121</v>
      </c>
      <c r="N36" s="76"/>
      <c r="O36" s="471" t="str">
        <f>IFERROR(VLOOKUP(K35,【参考】数式用!$A$5:$J$37,MATCH(N36,【参考】数式用!$B$4:$J$4,0)+1,0),"")</f>
        <v/>
      </c>
      <c r="P36" s="76"/>
      <c r="Q36" s="471" t="str">
        <f>IFERROR(VLOOKUP(K35,【参考】数式用!$A$5:$J$37,MATCH(P36,【参考】数式用!$B$4:$J$4,0)+1,0),"")</f>
        <v/>
      </c>
      <c r="R36" s="96" t="s">
        <v>15</v>
      </c>
      <c r="S36" s="472">
        <v>6</v>
      </c>
      <c r="T36" s="97" t="s">
        <v>10</v>
      </c>
      <c r="U36" s="58">
        <v>4</v>
      </c>
      <c r="V36" s="97" t="s">
        <v>38</v>
      </c>
      <c r="W36" s="472">
        <v>6</v>
      </c>
      <c r="X36" s="97" t="s">
        <v>10</v>
      </c>
      <c r="Y36" s="58">
        <v>5</v>
      </c>
      <c r="Z36" s="97" t="s">
        <v>13</v>
      </c>
      <c r="AA36" s="473" t="s">
        <v>20</v>
      </c>
      <c r="AB36" s="474">
        <f t="shared" si="72"/>
        <v>2</v>
      </c>
      <c r="AC36" s="97" t="s">
        <v>33</v>
      </c>
      <c r="AD36" s="475" t="str">
        <f t="shared" ref="AD36" si="77">IFERROR(ROUNDDOWN(ROUND(L35*Q36,0),0)*AB36,"")</f>
        <v/>
      </c>
      <c r="AE36" s="476" t="str">
        <f t="shared" si="42"/>
        <v/>
      </c>
      <c r="AF36" s="477"/>
      <c r="AG36" s="362"/>
      <c r="AH36" s="363"/>
      <c r="AI36" s="364"/>
      <c r="AJ36" s="365"/>
      <c r="AK36" s="366"/>
      <c r="AL36" s="367"/>
      <c r="AM36" s="478"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79"/>
      <c r="AO36" s="466" t="str">
        <f>IF(K35&lt;&gt;"","P列・R列に色付け","")</f>
        <v/>
      </c>
      <c r="AX36" s="452" t="str">
        <f>G35</f>
        <v/>
      </c>
    </row>
    <row r="37" spans="1:50" ht="32.1" customHeight="1" thickBot="1">
      <c r="A37" s="1268"/>
      <c r="B37" s="1205"/>
      <c r="C37" s="1269"/>
      <c r="D37" s="1205"/>
      <c r="E37" s="1205"/>
      <c r="F37" s="1205"/>
      <c r="G37" s="1208"/>
      <c r="H37" s="1208"/>
      <c r="I37" s="1208"/>
      <c r="J37" s="1208"/>
      <c r="K37" s="1208"/>
      <c r="L37" s="1211"/>
      <c r="M37" s="480" t="s">
        <v>114</v>
      </c>
      <c r="N37" s="79"/>
      <c r="O37" s="481" t="str">
        <f>IFERROR(VLOOKUP(K35,【参考】数式用!$A$5:$J$37,MATCH(N37,【参考】数式用!$B$4:$J$4,0)+1,0),"")</f>
        <v/>
      </c>
      <c r="P37" s="77"/>
      <c r="Q37" s="481" t="str">
        <f>IFERROR(VLOOKUP(K35,【参考】数式用!$A$5:$J$37,MATCH(P37,【参考】数式用!$B$4:$J$4,0)+1,0),"")</f>
        <v/>
      </c>
      <c r="R37" s="482" t="s">
        <v>15</v>
      </c>
      <c r="S37" s="483">
        <v>6</v>
      </c>
      <c r="T37" s="484" t="s">
        <v>10</v>
      </c>
      <c r="U37" s="59">
        <v>4</v>
      </c>
      <c r="V37" s="484" t="s">
        <v>38</v>
      </c>
      <c r="W37" s="483">
        <v>6</v>
      </c>
      <c r="X37" s="484" t="s">
        <v>10</v>
      </c>
      <c r="Y37" s="59">
        <v>5</v>
      </c>
      <c r="Z37" s="484" t="s">
        <v>13</v>
      </c>
      <c r="AA37" s="485" t="s">
        <v>20</v>
      </c>
      <c r="AB37" s="486">
        <f t="shared" si="72"/>
        <v>2</v>
      </c>
      <c r="AC37" s="484" t="s">
        <v>33</v>
      </c>
      <c r="AD37" s="487" t="str">
        <f t="shared" ref="AD37" si="79">IFERROR(ROUNDDOWN(ROUND(L35*Q37,0),0)*AB37,"")</f>
        <v/>
      </c>
      <c r="AE37" s="488" t="str">
        <f t="shared" si="45"/>
        <v/>
      </c>
      <c r="AF37" s="489">
        <f t="shared" ref="AF37" si="80">IF(AND(N37="ベア加算なし",P37="ベア加算"),AD37,0)</f>
        <v>0</v>
      </c>
      <c r="AG37" s="368"/>
      <c r="AH37" s="369"/>
      <c r="AI37" s="370"/>
      <c r="AJ37" s="371"/>
      <c r="AK37" s="372"/>
      <c r="AL37" s="373"/>
      <c r="AM37" s="490"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1" t="str">
        <f>IF(K35&lt;&gt;"","P列・R列に色付け","")</f>
        <v/>
      </c>
      <c r="AP37" s="492"/>
      <c r="AQ37" s="492"/>
      <c r="AW37" s="493"/>
      <c r="AX37" s="452" t="str">
        <f>G35</f>
        <v/>
      </c>
    </row>
    <row r="38" spans="1:50" ht="32.1" customHeight="1">
      <c r="A38" s="1266">
        <v>9</v>
      </c>
      <c r="B38" s="1203" t="str">
        <f>IF(基本情報入力シート!C62="","",基本情報入力シート!C62)</f>
        <v/>
      </c>
      <c r="C38" s="1203"/>
      <c r="D38" s="1203"/>
      <c r="E38" s="1203"/>
      <c r="F38" s="1203"/>
      <c r="G38" s="1206" t="str">
        <f>IF(基本情報入力シート!M62="","",基本情報入力シート!M62)</f>
        <v/>
      </c>
      <c r="H38" s="1206" t="str">
        <f>IF(基本情報入力シート!R62="","",基本情報入力シート!R62)</f>
        <v/>
      </c>
      <c r="I38" s="1206" t="str">
        <f>IF(基本情報入力シート!W62="","",基本情報入力シート!W62)</f>
        <v/>
      </c>
      <c r="J38" s="1206" t="str">
        <f>IF(基本情報入力シート!X62="","",基本情報入力シート!X62)</f>
        <v/>
      </c>
      <c r="K38" s="1206" t="str">
        <f>IF(基本情報入力シート!Y62="","",基本情報入力シート!Y62)</f>
        <v/>
      </c>
      <c r="L38" s="1209" t="str">
        <f>IF(基本情報入力シート!AB62="","",基本情報入力シート!AB62)</f>
        <v/>
      </c>
      <c r="M38" s="456" t="s">
        <v>132</v>
      </c>
      <c r="N38" s="75"/>
      <c r="O38" s="457" t="str">
        <f>IFERROR(VLOOKUP(K38,【参考】数式用!$A$5:$J$37,MATCH(N38,【参考】数式用!$B$4:$J$4,0)+1,0),"")</f>
        <v/>
      </c>
      <c r="P38" s="75"/>
      <c r="Q38" s="457" t="str">
        <f>IFERROR(VLOOKUP(K38,【参考】数式用!$A$5:$J$37,MATCH(P38,【参考】数式用!$B$4:$J$4,0)+1,0),"")</f>
        <v/>
      </c>
      <c r="R38" s="458" t="s">
        <v>15</v>
      </c>
      <c r="S38" s="459">
        <v>6</v>
      </c>
      <c r="T38" s="125" t="s">
        <v>10</v>
      </c>
      <c r="U38" s="39">
        <v>4</v>
      </c>
      <c r="V38" s="125" t="s">
        <v>38</v>
      </c>
      <c r="W38" s="459">
        <v>6</v>
      </c>
      <c r="X38" s="125" t="s">
        <v>10</v>
      </c>
      <c r="Y38" s="39">
        <v>5</v>
      </c>
      <c r="Z38" s="125" t="s">
        <v>13</v>
      </c>
      <c r="AA38" s="460" t="s">
        <v>20</v>
      </c>
      <c r="AB38" s="461">
        <f t="shared" si="72"/>
        <v>2</v>
      </c>
      <c r="AC38" s="125" t="s">
        <v>33</v>
      </c>
      <c r="AD38" s="462" t="str">
        <f t="shared" ref="AD38" si="82">IFERROR(ROUNDDOWN(ROUND(L38*Q38,0),0)*AB38,"")</f>
        <v/>
      </c>
      <c r="AE38" s="463" t="str">
        <f t="shared" si="49"/>
        <v/>
      </c>
      <c r="AF38" s="464"/>
      <c r="AG38" s="374"/>
      <c r="AH38" s="382"/>
      <c r="AI38" s="379"/>
      <c r="AJ38" s="380"/>
      <c r="AK38" s="360"/>
      <c r="AL38" s="361"/>
      <c r="AM38" s="465" t="str">
        <f t="shared" ref="AM38" si="83">IF(AO38="","",IF(Q38&lt;O38,"！加算の要件上は問題ありませんが、令和６年３月と比較して４・５月に加算率が下がる計画になっています。",""))</f>
        <v/>
      </c>
      <c r="AO38" s="466" t="str">
        <f>IF(K38&lt;&gt;"","P列・R列に色付け","")</f>
        <v/>
      </c>
      <c r="AP38" s="467" t="str">
        <f>IFERROR(VLOOKUP(K38,【参考】数式用!$AH$2:$AI$34,2,FALSE),"")</f>
        <v/>
      </c>
      <c r="AQ38" s="469" t="str">
        <f>P38&amp;P39&amp;P40</f>
        <v/>
      </c>
      <c r="AR38" s="467" t="str">
        <f t="shared" ref="AR38" si="84">IF(AF40&lt;&gt;0,IF(AG40="○","入力済","未入力"),"")</f>
        <v/>
      </c>
      <c r="AS38" s="468" t="str">
        <f>IF(OR(P38="処遇加算Ⅰ",P38="処遇加算Ⅱ"),IF(OR(AH38="○",AH38="令和６年度中に満たす"),"入力済","未入力"),"")</f>
        <v/>
      </c>
      <c r="AT38" s="469" t="str">
        <f>IF(P38="処遇加算Ⅲ",IF(AI38="○","入力済","未入力"),"")</f>
        <v/>
      </c>
      <c r="AU38" s="467" t="str">
        <f>IF(P38="処遇加算Ⅰ",IF(OR(AJ38="○",AJ38="令和６年度中に満たす"),"入力済","未入力"),"")</f>
        <v/>
      </c>
      <c r="AV38" s="467" t="str">
        <f t="shared" ref="AV38" si="85">IF(OR(P39="特定加算Ⅰ",P39="特定加算Ⅱ"),1,"")</f>
        <v/>
      </c>
      <c r="AW38" s="452" t="str">
        <f>IF(P39="特定加算Ⅰ",IF(AL39="","未入力","入力済"),"")</f>
        <v/>
      </c>
      <c r="AX38" s="452" t="str">
        <f>G38</f>
        <v/>
      </c>
    </row>
    <row r="39" spans="1:50" ht="32.1" customHeight="1">
      <c r="A39" s="1267"/>
      <c r="B39" s="1204"/>
      <c r="C39" s="1204"/>
      <c r="D39" s="1204"/>
      <c r="E39" s="1204"/>
      <c r="F39" s="1204"/>
      <c r="G39" s="1207"/>
      <c r="H39" s="1207"/>
      <c r="I39" s="1207"/>
      <c r="J39" s="1207"/>
      <c r="K39" s="1207"/>
      <c r="L39" s="1210"/>
      <c r="M39" s="470" t="s">
        <v>121</v>
      </c>
      <c r="N39" s="76"/>
      <c r="O39" s="471" t="str">
        <f>IFERROR(VLOOKUP(K38,【参考】数式用!$A$5:$J$37,MATCH(N39,【参考】数式用!$B$4:$J$4,0)+1,0),"")</f>
        <v/>
      </c>
      <c r="P39" s="76"/>
      <c r="Q39" s="471" t="str">
        <f>IFERROR(VLOOKUP(K38,【参考】数式用!$A$5:$J$37,MATCH(P39,【参考】数式用!$B$4:$J$4,0)+1,0),"")</f>
        <v/>
      </c>
      <c r="R39" s="96" t="s">
        <v>15</v>
      </c>
      <c r="S39" s="472">
        <v>6</v>
      </c>
      <c r="T39" s="97" t="s">
        <v>10</v>
      </c>
      <c r="U39" s="58">
        <v>4</v>
      </c>
      <c r="V39" s="97" t="s">
        <v>38</v>
      </c>
      <c r="W39" s="472">
        <v>6</v>
      </c>
      <c r="X39" s="97" t="s">
        <v>10</v>
      </c>
      <c r="Y39" s="58">
        <v>5</v>
      </c>
      <c r="Z39" s="97" t="s">
        <v>13</v>
      </c>
      <c r="AA39" s="473" t="s">
        <v>20</v>
      </c>
      <c r="AB39" s="474">
        <f t="shared" si="72"/>
        <v>2</v>
      </c>
      <c r="AC39" s="97" t="s">
        <v>33</v>
      </c>
      <c r="AD39" s="475" t="str">
        <f t="shared" ref="AD39" si="86">IFERROR(ROUNDDOWN(ROUND(L38*Q39,0),0)*AB39,"")</f>
        <v/>
      </c>
      <c r="AE39" s="476" t="str">
        <f t="shared" si="54"/>
        <v/>
      </c>
      <c r="AF39" s="477"/>
      <c r="AG39" s="362"/>
      <c r="AH39" s="363"/>
      <c r="AI39" s="364"/>
      <c r="AJ39" s="365"/>
      <c r="AK39" s="366"/>
      <c r="AL39" s="367"/>
      <c r="AM39" s="478"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79"/>
      <c r="AO39" s="466" t="str">
        <f>IF(K38&lt;&gt;"","P列・R列に色付け","")</f>
        <v/>
      </c>
      <c r="AX39" s="452" t="str">
        <f>G38</f>
        <v/>
      </c>
    </row>
    <row r="40" spans="1:50" ht="32.1" customHeight="1" thickBot="1">
      <c r="A40" s="1295"/>
      <c r="B40" s="1285"/>
      <c r="C40" s="1285"/>
      <c r="D40" s="1285"/>
      <c r="E40" s="1285"/>
      <c r="F40" s="1285"/>
      <c r="G40" s="1284"/>
      <c r="H40" s="1284"/>
      <c r="I40" s="1284"/>
      <c r="J40" s="1284"/>
      <c r="K40" s="1284"/>
      <c r="L40" s="1242"/>
      <c r="M40" s="494" t="s">
        <v>114</v>
      </c>
      <c r="N40" s="79"/>
      <c r="O40" s="481" t="str">
        <f>IFERROR(VLOOKUP(K38,【参考】数式用!$A$5:$J$37,MATCH(N40,【参考】数式用!$B$4:$J$4,0)+1,0),"")</f>
        <v/>
      </c>
      <c r="P40" s="79"/>
      <c r="Q40" s="481" t="str">
        <f>IFERROR(VLOOKUP(K38,【参考】数式用!$A$5:$J$37,MATCH(P40,【参考】数式用!$B$4:$J$4,0)+1,0),"")</f>
        <v/>
      </c>
      <c r="R40" s="499" t="s">
        <v>15</v>
      </c>
      <c r="S40" s="500">
        <v>6</v>
      </c>
      <c r="T40" s="134" t="s">
        <v>10</v>
      </c>
      <c r="U40" s="69">
        <v>4</v>
      </c>
      <c r="V40" s="134" t="s">
        <v>38</v>
      </c>
      <c r="W40" s="500">
        <v>6</v>
      </c>
      <c r="X40" s="134" t="s">
        <v>10</v>
      </c>
      <c r="Y40" s="69">
        <v>5</v>
      </c>
      <c r="Z40" s="134" t="s">
        <v>13</v>
      </c>
      <c r="AA40" s="501" t="s">
        <v>20</v>
      </c>
      <c r="AB40" s="502">
        <f t="shared" si="72"/>
        <v>2</v>
      </c>
      <c r="AC40" s="134" t="s">
        <v>33</v>
      </c>
      <c r="AD40" s="487" t="str">
        <f t="shared" ref="AD40" si="88">IFERROR(ROUNDDOWN(ROUND(L38*Q40,0),0)*AB40,"")</f>
        <v/>
      </c>
      <c r="AE40" s="488" t="str">
        <f t="shared" si="57"/>
        <v/>
      </c>
      <c r="AF40" s="489">
        <f t="shared" ref="AF40" si="89">IF(AND(N40="ベア加算なし",P40="ベア加算"),AD40,0)</f>
        <v>0</v>
      </c>
      <c r="AG40" s="384"/>
      <c r="AH40" s="385"/>
      <c r="AI40" s="386"/>
      <c r="AJ40" s="387"/>
      <c r="AK40" s="388"/>
      <c r="AL40" s="389"/>
      <c r="AM40" s="490"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1" t="str">
        <f>IF(K38&lt;&gt;"","P列・R列に色付け","")</f>
        <v/>
      </c>
      <c r="AP40" s="492"/>
      <c r="AQ40" s="492"/>
      <c r="AW40" s="493"/>
      <c r="AX40" s="452" t="str">
        <f>G38</f>
        <v/>
      </c>
    </row>
    <row r="41" spans="1:50" ht="32.1" customHeight="1">
      <c r="A41" s="1266">
        <v>10</v>
      </c>
      <c r="B41" s="1203" t="str">
        <f>IF(基本情報入力シート!C63="","",基本情報入力シート!C63)</f>
        <v/>
      </c>
      <c r="C41" s="1203"/>
      <c r="D41" s="1203"/>
      <c r="E41" s="1203"/>
      <c r="F41" s="1203"/>
      <c r="G41" s="1206" t="str">
        <f>IF(基本情報入力シート!M63="","",基本情報入力シート!M63)</f>
        <v/>
      </c>
      <c r="H41" s="1206" t="str">
        <f>IF(基本情報入力シート!R63="","",基本情報入力シート!R63)</f>
        <v/>
      </c>
      <c r="I41" s="1206" t="str">
        <f>IF(基本情報入力シート!W63="","",基本情報入力シート!W63)</f>
        <v/>
      </c>
      <c r="J41" s="1206" t="str">
        <f>IF(基本情報入力シート!X63="","",基本情報入力シート!X63)</f>
        <v/>
      </c>
      <c r="K41" s="1206" t="str">
        <f>IF(基本情報入力シート!Y63="","",基本情報入力シート!Y63)</f>
        <v/>
      </c>
      <c r="L41" s="1209" t="str">
        <f>IF(基本情報入力シート!AB63="","",基本情報入力シート!AB63)</f>
        <v/>
      </c>
      <c r="M41" s="456" t="s">
        <v>132</v>
      </c>
      <c r="N41" s="75"/>
      <c r="O41" s="457" t="str">
        <f>IFERROR(VLOOKUP(K41,【参考】数式用!$A$5:$J$37,MATCH(N41,【参考】数式用!$B$4:$J$4,0)+1,0),"")</f>
        <v/>
      </c>
      <c r="P41" s="75"/>
      <c r="Q41" s="457" t="str">
        <f>IFERROR(VLOOKUP(K41,【参考】数式用!$A$5:$J$37,MATCH(P41,【参考】数式用!$B$4:$J$4,0)+1,0),"")</f>
        <v/>
      </c>
      <c r="R41" s="458" t="s">
        <v>15</v>
      </c>
      <c r="S41" s="459">
        <v>6</v>
      </c>
      <c r="T41" s="125" t="s">
        <v>10</v>
      </c>
      <c r="U41" s="39">
        <v>4</v>
      </c>
      <c r="V41" s="125" t="s">
        <v>38</v>
      </c>
      <c r="W41" s="459">
        <v>6</v>
      </c>
      <c r="X41" s="125" t="s">
        <v>10</v>
      </c>
      <c r="Y41" s="39">
        <v>5</v>
      </c>
      <c r="Z41" s="125" t="s">
        <v>13</v>
      </c>
      <c r="AA41" s="460" t="s">
        <v>20</v>
      </c>
      <c r="AB41" s="461">
        <f t="shared" si="72"/>
        <v>2</v>
      </c>
      <c r="AC41" s="125" t="s">
        <v>33</v>
      </c>
      <c r="AD41" s="462" t="str">
        <f t="shared" ref="AD41" si="91">IFERROR(ROUNDDOWN(ROUND(L41*Q41,0),0)*AB41,"")</f>
        <v/>
      </c>
      <c r="AE41" s="463" t="str">
        <f t="shared" ref="AE41" si="92">IFERROR(ROUNDDOWN(ROUND(L41*(Q41-O41),0),0)*AB41,"")</f>
        <v/>
      </c>
      <c r="AF41" s="464"/>
      <c r="AG41" s="374"/>
      <c r="AH41" s="382"/>
      <c r="AI41" s="379"/>
      <c r="AJ41" s="380"/>
      <c r="AK41" s="360"/>
      <c r="AL41" s="361"/>
      <c r="AM41" s="465" t="str">
        <f t="shared" ref="AM41" si="93">IF(AO41="","",IF(Q41&lt;O41,"！加算の要件上は問題ありませんが、令和６年３月と比較して４・５月に加算率が下がる計画になっています。",""))</f>
        <v/>
      </c>
      <c r="AO41" s="466" t="str">
        <f>IF(K41&lt;&gt;"","P列・R列に色付け","")</f>
        <v/>
      </c>
      <c r="AP41" s="467" t="str">
        <f>IFERROR(VLOOKUP(K41,【参考】数式用!$AH$2:$AI$34,2,FALSE),"")</f>
        <v/>
      </c>
      <c r="AQ41" s="469" t="str">
        <f>P41&amp;P42&amp;P43</f>
        <v/>
      </c>
      <c r="AR41" s="467" t="str">
        <f t="shared" ref="AR41" si="94">IF(AF43&lt;&gt;0,IF(AG43="○","入力済","未入力"),"")</f>
        <v/>
      </c>
      <c r="AS41" s="468" t="str">
        <f>IF(OR(P41="処遇加算Ⅰ",P41="処遇加算Ⅱ"),IF(OR(AH41="○",AH41="令和６年度中に満たす"),"入力済","未入力"),"")</f>
        <v/>
      </c>
      <c r="AT41" s="469" t="str">
        <f>IF(P41="処遇加算Ⅲ",IF(AI41="○","入力済","未入力"),"")</f>
        <v/>
      </c>
      <c r="AU41" s="467" t="str">
        <f>IF(P41="処遇加算Ⅰ",IF(OR(AJ41="○",AJ41="令和６年度中に満たす"),"入力済","未入力"),"")</f>
        <v/>
      </c>
      <c r="AV41" s="467" t="str">
        <f t="shared" ref="AV41" si="95">IF(OR(P42="特定加算Ⅰ",P42="特定加算Ⅱ"),1,"")</f>
        <v/>
      </c>
      <c r="AW41" s="452" t="str">
        <f>IF(P42="特定加算Ⅰ",IF(AL42="","未入力","入力済"),"")</f>
        <v/>
      </c>
      <c r="AX41" s="452" t="str">
        <f>G41</f>
        <v/>
      </c>
    </row>
    <row r="42" spans="1:50" ht="32.1" customHeight="1">
      <c r="A42" s="1267"/>
      <c r="B42" s="1204"/>
      <c r="C42" s="1204"/>
      <c r="D42" s="1204"/>
      <c r="E42" s="1204"/>
      <c r="F42" s="1204"/>
      <c r="G42" s="1207"/>
      <c r="H42" s="1207"/>
      <c r="I42" s="1207"/>
      <c r="J42" s="1207"/>
      <c r="K42" s="1207"/>
      <c r="L42" s="1210"/>
      <c r="M42" s="470" t="s">
        <v>121</v>
      </c>
      <c r="N42" s="76"/>
      <c r="O42" s="471" t="str">
        <f>IFERROR(VLOOKUP(K41,【参考】数式用!$A$5:$J$37,MATCH(N42,【参考】数式用!$B$4:$J$4,0)+1,0),"")</f>
        <v/>
      </c>
      <c r="P42" s="76"/>
      <c r="Q42" s="471" t="str">
        <f>IFERROR(VLOOKUP(K41,【参考】数式用!$A$5:$J$37,MATCH(P42,【参考】数式用!$B$4:$J$4,0)+1,0),"")</f>
        <v/>
      </c>
      <c r="R42" s="96" t="s">
        <v>15</v>
      </c>
      <c r="S42" s="472">
        <v>6</v>
      </c>
      <c r="T42" s="97" t="s">
        <v>10</v>
      </c>
      <c r="U42" s="58">
        <v>4</v>
      </c>
      <c r="V42" s="97" t="s">
        <v>38</v>
      </c>
      <c r="W42" s="472">
        <v>6</v>
      </c>
      <c r="X42" s="97" t="s">
        <v>10</v>
      </c>
      <c r="Y42" s="58">
        <v>5</v>
      </c>
      <c r="Z42" s="97" t="s">
        <v>13</v>
      </c>
      <c r="AA42" s="473" t="s">
        <v>20</v>
      </c>
      <c r="AB42" s="474">
        <f t="shared" si="72"/>
        <v>2</v>
      </c>
      <c r="AC42" s="97" t="s">
        <v>33</v>
      </c>
      <c r="AD42" s="475" t="str">
        <f t="shared" ref="AD42" si="96">IFERROR(ROUNDDOWN(ROUND(L41*Q42,0),0)*AB42,"")</f>
        <v/>
      </c>
      <c r="AE42" s="476" t="str">
        <f t="shared" ref="AE42" si="97">IFERROR(ROUNDDOWN(ROUND(L41*(Q42-O42),0),0)*AB42,"")</f>
        <v/>
      </c>
      <c r="AF42" s="477"/>
      <c r="AG42" s="362"/>
      <c r="AH42" s="363"/>
      <c r="AI42" s="364"/>
      <c r="AJ42" s="365"/>
      <c r="AK42" s="366"/>
      <c r="AL42" s="367"/>
      <c r="AM42" s="478"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79"/>
      <c r="AO42" s="466" t="str">
        <f>IF(K41&lt;&gt;"","P列・R列に色付け","")</f>
        <v/>
      </c>
      <c r="AX42" s="452" t="str">
        <f>G41</f>
        <v/>
      </c>
    </row>
    <row r="43" spans="1:50" ht="32.1" customHeight="1" thickBot="1">
      <c r="A43" s="1268"/>
      <c r="B43" s="1205"/>
      <c r="C43" s="1205"/>
      <c r="D43" s="1205"/>
      <c r="E43" s="1205"/>
      <c r="F43" s="1205"/>
      <c r="G43" s="1208"/>
      <c r="H43" s="1208"/>
      <c r="I43" s="1208"/>
      <c r="J43" s="1208"/>
      <c r="K43" s="1208"/>
      <c r="L43" s="1211"/>
      <c r="M43" s="480" t="s">
        <v>114</v>
      </c>
      <c r="N43" s="77"/>
      <c r="O43" s="481" t="str">
        <f>IFERROR(VLOOKUP(K41,【参考】数式用!$A$5:$J$37,MATCH(N43,【参考】数式用!$B$4:$J$4,0)+1,0),"")</f>
        <v/>
      </c>
      <c r="P43" s="77"/>
      <c r="Q43" s="481" t="str">
        <f>IFERROR(VLOOKUP(K41,【参考】数式用!$A$5:$J$37,MATCH(P43,【参考】数式用!$B$4:$J$4,0)+1,0),"")</f>
        <v/>
      </c>
      <c r="R43" s="482" t="s">
        <v>15</v>
      </c>
      <c r="S43" s="483">
        <v>6</v>
      </c>
      <c r="T43" s="484" t="s">
        <v>10</v>
      </c>
      <c r="U43" s="59">
        <v>4</v>
      </c>
      <c r="V43" s="484" t="s">
        <v>38</v>
      </c>
      <c r="W43" s="483">
        <v>6</v>
      </c>
      <c r="X43" s="484" t="s">
        <v>10</v>
      </c>
      <c r="Y43" s="59">
        <v>5</v>
      </c>
      <c r="Z43" s="484" t="s">
        <v>13</v>
      </c>
      <c r="AA43" s="485" t="s">
        <v>20</v>
      </c>
      <c r="AB43" s="486">
        <f t="shared" si="72"/>
        <v>2</v>
      </c>
      <c r="AC43" s="484" t="s">
        <v>33</v>
      </c>
      <c r="AD43" s="487" t="str">
        <f t="shared" ref="AD43" si="99">IFERROR(ROUNDDOWN(ROUND(L41*Q43,0),0)*AB43,"")</f>
        <v/>
      </c>
      <c r="AE43" s="488" t="str">
        <f t="shared" ref="AE43" si="100">IFERROR(ROUNDDOWN(ROUND(L41*(Q43-O43),0),0)*AB43,"")</f>
        <v/>
      </c>
      <c r="AF43" s="489">
        <f t="shared" ref="AF43" si="101">IF(AND(N43="ベア加算なし",P43="ベア加算"),AD43,0)</f>
        <v>0</v>
      </c>
      <c r="AG43" s="368"/>
      <c r="AH43" s="369"/>
      <c r="AI43" s="370"/>
      <c r="AJ43" s="371"/>
      <c r="AK43" s="372"/>
      <c r="AL43" s="373"/>
      <c r="AM43" s="490"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1" t="str">
        <f>IF(K41&lt;&gt;"","P列・R列に色付け","")</f>
        <v/>
      </c>
      <c r="AP43" s="492"/>
      <c r="AQ43" s="492"/>
      <c r="AW43" s="493"/>
      <c r="AX43" s="452" t="str">
        <f>G41</f>
        <v/>
      </c>
    </row>
    <row r="44" spans="1:50" ht="32.1" customHeight="1">
      <c r="A44" s="1293">
        <v>11</v>
      </c>
      <c r="B44" s="1294" t="str">
        <f>IF(基本情報入力シート!C64="","",基本情報入力シート!C64)</f>
        <v/>
      </c>
      <c r="C44" s="1294"/>
      <c r="D44" s="1294"/>
      <c r="E44" s="1294"/>
      <c r="F44" s="1294"/>
      <c r="G44" s="1283" t="str">
        <f>IF(基本情報入力シート!M64="","",基本情報入力シート!M64)</f>
        <v/>
      </c>
      <c r="H44" s="1283" t="str">
        <f>IF(基本情報入力シート!R64="","",基本情報入力シート!R64)</f>
        <v/>
      </c>
      <c r="I44" s="1283" t="str">
        <f>IF(基本情報入力シート!W64="","",基本情報入力シート!W64)</f>
        <v/>
      </c>
      <c r="J44" s="1283" t="str">
        <f>IF(基本情報入力シート!X64="","",基本情報入力シート!X64)</f>
        <v/>
      </c>
      <c r="K44" s="1283" t="str">
        <f>IF(基本情報入力シート!Y64="","",基本情報入力シート!Y64)</f>
        <v/>
      </c>
      <c r="L44" s="1241" t="str">
        <f>IF(基本情報入力シート!AB64="","",基本情報入力シート!AB64)</f>
        <v/>
      </c>
      <c r="M44" s="494" t="s">
        <v>132</v>
      </c>
      <c r="N44" s="78"/>
      <c r="O44" s="457" t="str">
        <f>IFERROR(VLOOKUP(K44,【参考】数式用!$A$5:$J$37,MATCH(N44,【参考】数式用!$B$4:$J$4,0)+1,0),"")</f>
        <v/>
      </c>
      <c r="P44" s="78"/>
      <c r="Q44" s="457" t="str">
        <f>IFERROR(VLOOKUP(K44,【参考】数式用!$A$5:$J$37,MATCH(P44,【参考】数式用!$B$4:$J$4,0)+1,0),"")</f>
        <v/>
      </c>
      <c r="R44" s="495" t="s">
        <v>15</v>
      </c>
      <c r="S44" s="496">
        <v>6</v>
      </c>
      <c r="T44" s="131" t="s">
        <v>10</v>
      </c>
      <c r="U44" s="68">
        <v>4</v>
      </c>
      <c r="V44" s="131" t="s">
        <v>38</v>
      </c>
      <c r="W44" s="496">
        <v>6</v>
      </c>
      <c r="X44" s="131" t="s">
        <v>10</v>
      </c>
      <c r="Y44" s="68">
        <v>5</v>
      </c>
      <c r="Z44" s="131" t="s">
        <v>13</v>
      </c>
      <c r="AA44" s="497" t="s">
        <v>20</v>
      </c>
      <c r="AB44" s="498">
        <f t="shared" si="72"/>
        <v>2</v>
      </c>
      <c r="AC44" s="131" t="s">
        <v>33</v>
      </c>
      <c r="AD44" s="462" t="str">
        <f t="shared" ref="AD44" si="103">IFERROR(ROUNDDOWN(ROUND(L44*Q44,0),0)*AB44,"")</f>
        <v/>
      </c>
      <c r="AE44" s="463" t="str">
        <f t="shared" si="37"/>
        <v/>
      </c>
      <c r="AF44" s="464"/>
      <c r="AG44" s="390"/>
      <c r="AH44" s="391"/>
      <c r="AI44" s="376"/>
      <c r="AJ44" s="392"/>
      <c r="AK44" s="393"/>
      <c r="AL44" s="378"/>
      <c r="AM44" s="465" t="str">
        <f t="shared" ref="AM44" si="104">IF(AO44="","",IF(Q44&lt;O44,"！加算の要件上は問題ありませんが、令和６年３月と比較して４・５月に加算率が下がる計画になっています。",""))</f>
        <v/>
      </c>
      <c r="AO44" s="466" t="str">
        <f>IF(K44&lt;&gt;"","P列・R列に色付け","")</f>
        <v/>
      </c>
      <c r="AP44" s="467" t="str">
        <f>IFERROR(VLOOKUP(K44,【参考】数式用!$AH$2:$AI$34,2,FALSE),"")</f>
        <v/>
      </c>
      <c r="AQ44" s="469" t="str">
        <f>P44&amp;P45&amp;P46</f>
        <v/>
      </c>
      <c r="AR44" s="467" t="str">
        <f t="shared" ref="AR44" si="105">IF(AF46&lt;&gt;0,IF(AG46="○","入力済","未入力"),"")</f>
        <v/>
      </c>
      <c r="AS44" s="468" t="str">
        <f>IF(OR(P44="処遇加算Ⅰ",P44="処遇加算Ⅱ"),IF(OR(AH44="○",AH44="令和６年度中に満たす"),"入力済","未入力"),"")</f>
        <v/>
      </c>
      <c r="AT44" s="469" t="str">
        <f>IF(P44="処遇加算Ⅲ",IF(AI44="○","入力済","未入力"),"")</f>
        <v/>
      </c>
      <c r="AU44" s="467" t="str">
        <f>IF(P44="処遇加算Ⅰ",IF(OR(AJ44="○",AJ44="令和６年度中に満たす"),"入力済","未入力"),"")</f>
        <v/>
      </c>
      <c r="AV44" s="467" t="str">
        <f t="shared" ref="AV44" si="106">IF(OR(P45="特定加算Ⅰ",P45="特定加算Ⅱ"),1,"")</f>
        <v/>
      </c>
      <c r="AW44" s="452" t="str">
        <f>IF(P45="特定加算Ⅰ",IF(AL45="","未入力","入力済"),"")</f>
        <v/>
      </c>
      <c r="AX44" s="452" t="str">
        <f>G44</f>
        <v/>
      </c>
    </row>
    <row r="45" spans="1:50" ht="32.1" customHeight="1">
      <c r="A45" s="1267"/>
      <c r="B45" s="1204"/>
      <c r="C45" s="1204"/>
      <c r="D45" s="1204"/>
      <c r="E45" s="1204"/>
      <c r="F45" s="1204"/>
      <c r="G45" s="1207"/>
      <c r="H45" s="1207"/>
      <c r="I45" s="1207"/>
      <c r="J45" s="1207"/>
      <c r="K45" s="1207"/>
      <c r="L45" s="1210"/>
      <c r="M45" s="470" t="s">
        <v>121</v>
      </c>
      <c r="N45" s="76"/>
      <c r="O45" s="471" t="str">
        <f>IFERROR(VLOOKUP(K44,【参考】数式用!$A$5:$J$37,MATCH(N45,【参考】数式用!$B$4:$J$4,0)+1,0),"")</f>
        <v/>
      </c>
      <c r="P45" s="76"/>
      <c r="Q45" s="471" t="str">
        <f>IFERROR(VLOOKUP(K44,【参考】数式用!$A$5:$J$37,MATCH(P45,【参考】数式用!$B$4:$J$4,0)+1,0),"")</f>
        <v/>
      </c>
      <c r="R45" s="96" t="s">
        <v>15</v>
      </c>
      <c r="S45" s="472">
        <v>6</v>
      </c>
      <c r="T45" s="97" t="s">
        <v>10</v>
      </c>
      <c r="U45" s="58">
        <v>4</v>
      </c>
      <c r="V45" s="97" t="s">
        <v>38</v>
      </c>
      <c r="W45" s="472">
        <v>6</v>
      </c>
      <c r="X45" s="97" t="s">
        <v>10</v>
      </c>
      <c r="Y45" s="58">
        <v>5</v>
      </c>
      <c r="Z45" s="97" t="s">
        <v>13</v>
      </c>
      <c r="AA45" s="473" t="s">
        <v>20</v>
      </c>
      <c r="AB45" s="474">
        <f t="shared" si="72"/>
        <v>2</v>
      </c>
      <c r="AC45" s="97" t="s">
        <v>33</v>
      </c>
      <c r="AD45" s="475" t="str">
        <f t="shared" ref="AD45" si="107">IFERROR(ROUNDDOWN(ROUND(L44*Q45,0),0)*AB45,"")</f>
        <v/>
      </c>
      <c r="AE45" s="476" t="str">
        <f t="shared" si="42"/>
        <v/>
      </c>
      <c r="AF45" s="477"/>
      <c r="AG45" s="362"/>
      <c r="AH45" s="363"/>
      <c r="AI45" s="364"/>
      <c r="AJ45" s="365"/>
      <c r="AK45" s="366"/>
      <c r="AL45" s="367"/>
      <c r="AM45" s="478"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79"/>
      <c r="AO45" s="466" t="str">
        <f>IF(K44&lt;&gt;"","P列・R列に色付け","")</f>
        <v/>
      </c>
      <c r="AX45" s="452" t="str">
        <f>G44</f>
        <v/>
      </c>
    </row>
    <row r="46" spans="1:50" ht="32.1" customHeight="1" thickBot="1">
      <c r="A46" s="1268"/>
      <c r="B46" s="1205"/>
      <c r="C46" s="1205"/>
      <c r="D46" s="1205"/>
      <c r="E46" s="1205"/>
      <c r="F46" s="1205"/>
      <c r="G46" s="1208"/>
      <c r="H46" s="1208"/>
      <c r="I46" s="1208"/>
      <c r="J46" s="1208"/>
      <c r="K46" s="1208"/>
      <c r="L46" s="1211"/>
      <c r="M46" s="480" t="s">
        <v>114</v>
      </c>
      <c r="N46" s="79"/>
      <c r="O46" s="481" t="str">
        <f>IFERROR(VLOOKUP(K44,【参考】数式用!$A$5:$J$37,MATCH(N46,【参考】数式用!$B$4:$J$4,0)+1,0),"")</f>
        <v/>
      </c>
      <c r="P46" s="77"/>
      <c r="Q46" s="481" t="str">
        <f>IFERROR(VLOOKUP(K44,【参考】数式用!$A$5:$J$37,MATCH(P46,【参考】数式用!$B$4:$J$4,0)+1,0),"")</f>
        <v/>
      </c>
      <c r="R46" s="482" t="s">
        <v>15</v>
      </c>
      <c r="S46" s="483">
        <v>6</v>
      </c>
      <c r="T46" s="484" t="s">
        <v>10</v>
      </c>
      <c r="U46" s="59">
        <v>4</v>
      </c>
      <c r="V46" s="484" t="s">
        <v>38</v>
      </c>
      <c r="W46" s="483">
        <v>6</v>
      </c>
      <c r="X46" s="484" t="s">
        <v>10</v>
      </c>
      <c r="Y46" s="59">
        <v>5</v>
      </c>
      <c r="Z46" s="484" t="s">
        <v>13</v>
      </c>
      <c r="AA46" s="485" t="s">
        <v>20</v>
      </c>
      <c r="AB46" s="486">
        <f t="shared" si="72"/>
        <v>2</v>
      </c>
      <c r="AC46" s="484" t="s">
        <v>33</v>
      </c>
      <c r="AD46" s="487" t="str">
        <f t="shared" ref="AD46" si="109">IFERROR(ROUNDDOWN(ROUND(L44*Q46,0),0)*AB46,"")</f>
        <v/>
      </c>
      <c r="AE46" s="488" t="str">
        <f t="shared" si="45"/>
        <v/>
      </c>
      <c r="AF46" s="489">
        <f t="shared" ref="AF46" si="110">IF(AND(N46="ベア加算なし",P46="ベア加算"),AD46,0)</f>
        <v>0</v>
      </c>
      <c r="AG46" s="368"/>
      <c r="AH46" s="369"/>
      <c r="AI46" s="370"/>
      <c r="AJ46" s="371"/>
      <c r="AK46" s="372"/>
      <c r="AL46" s="373"/>
      <c r="AM46" s="490"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1" t="str">
        <f>IF(K44&lt;&gt;"","P列・R列に色付け","")</f>
        <v/>
      </c>
      <c r="AP46" s="492"/>
      <c r="AQ46" s="492"/>
      <c r="AW46" s="493"/>
      <c r="AX46" s="452" t="str">
        <f>G44</f>
        <v/>
      </c>
    </row>
    <row r="47" spans="1:50" ht="32.1" customHeight="1">
      <c r="A47" s="1266">
        <v>12</v>
      </c>
      <c r="B47" s="1203" t="str">
        <f>IF(基本情報入力シート!C65="","",基本情報入力シート!C65)</f>
        <v/>
      </c>
      <c r="C47" s="1203"/>
      <c r="D47" s="1203"/>
      <c r="E47" s="1203"/>
      <c r="F47" s="1203"/>
      <c r="G47" s="1206" t="str">
        <f>IF(基本情報入力シート!M65="","",基本情報入力シート!M65)</f>
        <v/>
      </c>
      <c r="H47" s="1206" t="str">
        <f>IF(基本情報入力シート!R65="","",基本情報入力シート!R65)</f>
        <v/>
      </c>
      <c r="I47" s="1206" t="str">
        <f>IF(基本情報入力シート!W65="","",基本情報入力シート!W65)</f>
        <v/>
      </c>
      <c r="J47" s="1206" t="str">
        <f>IF(基本情報入力シート!X65="","",基本情報入力シート!X65)</f>
        <v/>
      </c>
      <c r="K47" s="1206" t="str">
        <f>IF(基本情報入力シート!Y65="","",基本情報入力シート!Y65)</f>
        <v/>
      </c>
      <c r="L47" s="1209" t="str">
        <f>IF(基本情報入力シート!AB65="","",基本情報入力シート!AB65)</f>
        <v/>
      </c>
      <c r="M47" s="456" t="s">
        <v>132</v>
      </c>
      <c r="N47" s="75"/>
      <c r="O47" s="457" t="str">
        <f>IFERROR(VLOOKUP(K47,【参考】数式用!$A$5:$J$37,MATCH(N47,【参考】数式用!$B$4:$J$4,0)+1,0),"")</f>
        <v/>
      </c>
      <c r="P47" s="75"/>
      <c r="Q47" s="457" t="str">
        <f>IFERROR(VLOOKUP(K47,【参考】数式用!$A$5:$J$37,MATCH(P47,【参考】数式用!$B$4:$J$4,0)+1,0),"")</f>
        <v/>
      </c>
      <c r="R47" s="458" t="s">
        <v>15</v>
      </c>
      <c r="S47" s="459">
        <v>6</v>
      </c>
      <c r="T47" s="125" t="s">
        <v>10</v>
      </c>
      <c r="U47" s="39">
        <v>4</v>
      </c>
      <c r="V47" s="125" t="s">
        <v>38</v>
      </c>
      <c r="W47" s="459">
        <v>6</v>
      </c>
      <c r="X47" s="125" t="s">
        <v>10</v>
      </c>
      <c r="Y47" s="39">
        <v>5</v>
      </c>
      <c r="Z47" s="125" t="s">
        <v>13</v>
      </c>
      <c r="AA47" s="460" t="s">
        <v>20</v>
      </c>
      <c r="AB47" s="461">
        <f t="shared" ref="AB47:AB94" si="112">IF(U47&gt;=1,(W47*12+Y47)-(S47*12+U47)+1,"")</f>
        <v>2</v>
      </c>
      <c r="AC47" s="125" t="s">
        <v>33</v>
      </c>
      <c r="AD47" s="462" t="str">
        <f t="shared" ref="AD47" si="113">IFERROR(ROUNDDOWN(ROUND(L47*Q47,0),0)*AB47,"")</f>
        <v/>
      </c>
      <c r="AE47" s="463" t="str">
        <f t="shared" si="49"/>
        <v/>
      </c>
      <c r="AF47" s="464"/>
      <c r="AG47" s="374"/>
      <c r="AH47" s="382"/>
      <c r="AI47" s="379"/>
      <c r="AJ47" s="380"/>
      <c r="AK47" s="360"/>
      <c r="AL47" s="361"/>
      <c r="AM47" s="465" t="str">
        <f t="shared" ref="AM47" si="114">IF(AO47="","",IF(Q47&lt;O47,"！加算の要件上は問題ありませんが、令和６年３月と比較して４・５月に加算率が下がる計画になっています。",""))</f>
        <v/>
      </c>
      <c r="AO47" s="466" t="str">
        <f>IF(K47&lt;&gt;"","P列・R列に色付け","")</f>
        <v/>
      </c>
      <c r="AP47" s="467" t="str">
        <f>IFERROR(VLOOKUP(K47,【参考】数式用!$AH$2:$AI$34,2,FALSE),"")</f>
        <v/>
      </c>
      <c r="AQ47" s="469" t="str">
        <f>P47&amp;P48&amp;P49</f>
        <v/>
      </c>
      <c r="AR47" s="467" t="str">
        <f t="shared" ref="AR47" si="115">IF(AF49&lt;&gt;0,IF(AG49="○","入力済","未入力"),"")</f>
        <v/>
      </c>
      <c r="AS47" s="468" t="str">
        <f>IF(OR(P47="処遇加算Ⅰ",P47="処遇加算Ⅱ"),IF(OR(AH47="○",AH47="令和６年度中に満たす"),"入力済","未入力"),"")</f>
        <v/>
      </c>
      <c r="AT47" s="469" t="str">
        <f>IF(P47="処遇加算Ⅲ",IF(AI47="○","入力済","未入力"),"")</f>
        <v/>
      </c>
      <c r="AU47" s="467" t="str">
        <f>IF(P47="処遇加算Ⅰ",IF(OR(AJ47="○",AJ47="令和６年度中に満たす"),"入力済","未入力"),"")</f>
        <v/>
      </c>
      <c r="AV47" s="467" t="str">
        <f t="shared" ref="AV47" si="116">IF(OR(P48="特定加算Ⅰ",P48="特定加算Ⅱ"),1,"")</f>
        <v/>
      </c>
      <c r="AW47" s="452" t="str">
        <f>IF(P48="特定加算Ⅰ",IF(AL48="","未入力","入力済"),"")</f>
        <v/>
      </c>
      <c r="AX47" s="452" t="str">
        <f>G47</f>
        <v/>
      </c>
    </row>
    <row r="48" spans="1:50" ht="32.1" customHeight="1">
      <c r="A48" s="1267"/>
      <c r="B48" s="1204"/>
      <c r="C48" s="1204"/>
      <c r="D48" s="1204"/>
      <c r="E48" s="1204"/>
      <c r="F48" s="1204"/>
      <c r="G48" s="1207"/>
      <c r="H48" s="1207"/>
      <c r="I48" s="1207"/>
      <c r="J48" s="1207"/>
      <c r="K48" s="1207"/>
      <c r="L48" s="1210"/>
      <c r="M48" s="470" t="s">
        <v>121</v>
      </c>
      <c r="N48" s="76"/>
      <c r="O48" s="471" t="str">
        <f>IFERROR(VLOOKUP(K47,【参考】数式用!$A$5:$J$37,MATCH(N48,【参考】数式用!$B$4:$J$4,0)+1,0),"")</f>
        <v/>
      </c>
      <c r="P48" s="76"/>
      <c r="Q48" s="471" t="str">
        <f>IFERROR(VLOOKUP(K47,【参考】数式用!$A$5:$J$37,MATCH(P48,【参考】数式用!$B$4:$J$4,0)+1,0),"")</f>
        <v/>
      </c>
      <c r="R48" s="96" t="s">
        <v>15</v>
      </c>
      <c r="S48" s="472">
        <v>6</v>
      </c>
      <c r="T48" s="97" t="s">
        <v>10</v>
      </c>
      <c r="U48" s="58">
        <v>4</v>
      </c>
      <c r="V48" s="97" t="s">
        <v>38</v>
      </c>
      <c r="W48" s="472">
        <v>6</v>
      </c>
      <c r="X48" s="97" t="s">
        <v>10</v>
      </c>
      <c r="Y48" s="58">
        <v>5</v>
      </c>
      <c r="Z48" s="97" t="s">
        <v>13</v>
      </c>
      <c r="AA48" s="473" t="s">
        <v>20</v>
      </c>
      <c r="AB48" s="474">
        <f t="shared" si="112"/>
        <v>2</v>
      </c>
      <c r="AC48" s="97" t="s">
        <v>33</v>
      </c>
      <c r="AD48" s="475" t="str">
        <f t="shared" ref="AD48" si="117">IFERROR(ROUNDDOWN(ROUND(L47*Q48,0),0)*AB48,"")</f>
        <v/>
      </c>
      <c r="AE48" s="476" t="str">
        <f t="shared" si="54"/>
        <v/>
      </c>
      <c r="AF48" s="477"/>
      <c r="AG48" s="362"/>
      <c r="AH48" s="363"/>
      <c r="AI48" s="364"/>
      <c r="AJ48" s="365"/>
      <c r="AK48" s="366"/>
      <c r="AL48" s="367"/>
      <c r="AM48" s="478"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79"/>
      <c r="AO48" s="466" t="str">
        <f>IF(K47&lt;&gt;"","P列・R列に色付け","")</f>
        <v/>
      </c>
      <c r="AX48" s="452" t="str">
        <f>G47</f>
        <v/>
      </c>
    </row>
    <row r="49" spans="1:50" ht="32.1" customHeight="1" thickBot="1">
      <c r="A49" s="1268"/>
      <c r="B49" s="1205"/>
      <c r="C49" s="1205"/>
      <c r="D49" s="1205"/>
      <c r="E49" s="1205"/>
      <c r="F49" s="1205"/>
      <c r="G49" s="1208"/>
      <c r="H49" s="1208"/>
      <c r="I49" s="1208"/>
      <c r="J49" s="1208"/>
      <c r="K49" s="1208"/>
      <c r="L49" s="1211"/>
      <c r="M49" s="480" t="s">
        <v>114</v>
      </c>
      <c r="N49" s="79"/>
      <c r="O49" s="481" t="str">
        <f>IFERROR(VLOOKUP(K47,【参考】数式用!$A$5:$J$37,MATCH(N49,【参考】数式用!$B$4:$J$4,0)+1,0),"")</f>
        <v/>
      </c>
      <c r="P49" s="77"/>
      <c r="Q49" s="481" t="str">
        <f>IFERROR(VLOOKUP(K47,【参考】数式用!$A$5:$J$37,MATCH(P49,【参考】数式用!$B$4:$J$4,0)+1,0),"")</f>
        <v/>
      </c>
      <c r="R49" s="482" t="s">
        <v>15</v>
      </c>
      <c r="S49" s="483">
        <v>6</v>
      </c>
      <c r="T49" s="484" t="s">
        <v>10</v>
      </c>
      <c r="U49" s="59">
        <v>4</v>
      </c>
      <c r="V49" s="484" t="s">
        <v>38</v>
      </c>
      <c r="W49" s="483">
        <v>6</v>
      </c>
      <c r="X49" s="484" t="s">
        <v>10</v>
      </c>
      <c r="Y49" s="59">
        <v>5</v>
      </c>
      <c r="Z49" s="484" t="s">
        <v>13</v>
      </c>
      <c r="AA49" s="485" t="s">
        <v>20</v>
      </c>
      <c r="AB49" s="486">
        <f t="shared" si="112"/>
        <v>2</v>
      </c>
      <c r="AC49" s="484" t="s">
        <v>33</v>
      </c>
      <c r="AD49" s="487" t="str">
        <f t="shared" ref="AD49" si="119">IFERROR(ROUNDDOWN(ROUND(L47*Q49,0),0)*AB49,"")</f>
        <v/>
      </c>
      <c r="AE49" s="488" t="str">
        <f t="shared" si="57"/>
        <v/>
      </c>
      <c r="AF49" s="489">
        <f t="shared" ref="AF49" si="120">IF(AND(N49="ベア加算なし",P49="ベア加算"),AD49,0)</f>
        <v>0</v>
      </c>
      <c r="AG49" s="368"/>
      <c r="AH49" s="369"/>
      <c r="AI49" s="370"/>
      <c r="AJ49" s="371"/>
      <c r="AK49" s="372"/>
      <c r="AL49" s="373"/>
      <c r="AM49" s="490"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1" t="str">
        <f>IF(K47&lt;&gt;"","P列・R列に色付け","")</f>
        <v/>
      </c>
      <c r="AP49" s="492"/>
      <c r="AQ49" s="492"/>
      <c r="AW49" s="493"/>
      <c r="AX49" s="452" t="str">
        <f>G47</f>
        <v/>
      </c>
    </row>
    <row r="50" spans="1:50" ht="32.1" customHeight="1">
      <c r="A50" s="1266">
        <v>13</v>
      </c>
      <c r="B50" s="1203" t="str">
        <f>IF(基本情報入力シート!C66="","",基本情報入力シート!C66)</f>
        <v/>
      </c>
      <c r="C50" s="1203"/>
      <c r="D50" s="1203"/>
      <c r="E50" s="1203"/>
      <c r="F50" s="1203"/>
      <c r="G50" s="1206" t="str">
        <f>IF(基本情報入力シート!M66="","",基本情報入力シート!M66)</f>
        <v/>
      </c>
      <c r="H50" s="1206" t="str">
        <f>IF(基本情報入力シート!R66="","",基本情報入力シート!R66)</f>
        <v/>
      </c>
      <c r="I50" s="1206" t="str">
        <f>IF(基本情報入力シート!W66="","",基本情報入力シート!W66)</f>
        <v/>
      </c>
      <c r="J50" s="1206" t="str">
        <f>IF(基本情報入力シート!X66="","",基本情報入力シート!X66)</f>
        <v/>
      </c>
      <c r="K50" s="1206" t="str">
        <f>IF(基本情報入力シート!Y66="","",基本情報入力シート!Y66)</f>
        <v/>
      </c>
      <c r="L50" s="1209" t="str">
        <f>IF(基本情報入力シート!AB66="","",基本情報入力シート!AB66)</f>
        <v/>
      </c>
      <c r="M50" s="456" t="s">
        <v>132</v>
      </c>
      <c r="N50" s="75"/>
      <c r="O50" s="457" t="str">
        <f>IFERROR(VLOOKUP(K50,【参考】数式用!$A$5:$J$37,MATCH(N50,【参考】数式用!$B$4:$J$4,0)+1,0),"")</f>
        <v/>
      </c>
      <c r="P50" s="75"/>
      <c r="Q50" s="457" t="str">
        <f>IFERROR(VLOOKUP(K50,【参考】数式用!$A$5:$J$37,MATCH(P50,【参考】数式用!$B$4:$J$4,0)+1,0),"")</f>
        <v/>
      </c>
      <c r="R50" s="458" t="s">
        <v>15</v>
      </c>
      <c r="S50" s="459">
        <v>6</v>
      </c>
      <c r="T50" s="125" t="s">
        <v>10</v>
      </c>
      <c r="U50" s="39">
        <v>4</v>
      </c>
      <c r="V50" s="125" t="s">
        <v>38</v>
      </c>
      <c r="W50" s="459">
        <v>6</v>
      </c>
      <c r="X50" s="125" t="s">
        <v>10</v>
      </c>
      <c r="Y50" s="39">
        <v>5</v>
      </c>
      <c r="Z50" s="125" t="s">
        <v>13</v>
      </c>
      <c r="AA50" s="460" t="s">
        <v>20</v>
      </c>
      <c r="AB50" s="461">
        <f t="shared" si="112"/>
        <v>2</v>
      </c>
      <c r="AC50" s="125" t="s">
        <v>33</v>
      </c>
      <c r="AD50" s="462" t="str">
        <f t="shared" ref="AD50" si="122">IFERROR(ROUNDDOWN(ROUND(L50*Q50,0),0)*AB50,"")</f>
        <v/>
      </c>
      <c r="AE50" s="463" t="str">
        <f t="shared" ref="AE50" si="123">IFERROR(ROUNDDOWN(ROUND(L50*(Q50-O50),0),0)*AB50,"")</f>
        <v/>
      </c>
      <c r="AF50" s="464"/>
      <c r="AG50" s="374"/>
      <c r="AH50" s="382"/>
      <c r="AI50" s="379"/>
      <c r="AJ50" s="380"/>
      <c r="AK50" s="360"/>
      <c r="AL50" s="361"/>
      <c r="AM50" s="465" t="str">
        <f t="shared" ref="AM50" si="124">IF(AO50="","",IF(Q50&lt;O50,"！加算の要件上は問題ありませんが、令和６年３月と比較して４・５月に加算率が下がる計画になっています。",""))</f>
        <v/>
      </c>
      <c r="AO50" s="466" t="str">
        <f>IF(K50&lt;&gt;"","P列・R列に色付け","")</f>
        <v/>
      </c>
      <c r="AP50" s="467" t="str">
        <f>IFERROR(VLOOKUP(K50,【参考】数式用!$AH$2:$AI$34,2,FALSE),"")</f>
        <v/>
      </c>
      <c r="AQ50" s="469" t="str">
        <f>P50&amp;P51&amp;P52</f>
        <v/>
      </c>
      <c r="AR50" s="467" t="str">
        <f t="shared" ref="AR50" si="125">IF(AF52&lt;&gt;0,IF(AG52="○","入力済","未入力"),"")</f>
        <v/>
      </c>
      <c r="AS50" s="468" t="str">
        <f>IF(OR(P50="処遇加算Ⅰ",P50="処遇加算Ⅱ"),IF(OR(AH50="○",AH50="令和６年度中に満たす"),"入力済","未入力"),"")</f>
        <v/>
      </c>
      <c r="AT50" s="469" t="str">
        <f>IF(P50="処遇加算Ⅲ",IF(AI50="○","入力済","未入力"),"")</f>
        <v/>
      </c>
      <c r="AU50" s="467" t="str">
        <f>IF(P50="処遇加算Ⅰ",IF(OR(AJ50="○",AJ50="令和６年度中に満たす"),"入力済","未入力"),"")</f>
        <v/>
      </c>
      <c r="AV50" s="467" t="str">
        <f t="shared" ref="AV50" si="126">IF(OR(P51="特定加算Ⅰ",P51="特定加算Ⅱ"),1,"")</f>
        <v/>
      </c>
      <c r="AW50" s="452" t="str">
        <f>IF(P51="特定加算Ⅰ",IF(AL51="","未入力","入力済"),"")</f>
        <v/>
      </c>
      <c r="AX50" s="452" t="str">
        <f>G50</f>
        <v/>
      </c>
    </row>
    <row r="51" spans="1:50" ht="32.1" customHeight="1">
      <c r="A51" s="1267"/>
      <c r="B51" s="1204"/>
      <c r="C51" s="1204"/>
      <c r="D51" s="1204"/>
      <c r="E51" s="1204"/>
      <c r="F51" s="1204"/>
      <c r="G51" s="1207"/>
      <c r="H51" s="1207"/>
      <c r="I51" s="1207"/>
      <c r="J51" s="1207"/>
      <c r="K51" s="1207"/>
      <c r="L51" s="1210"/>
      <c r="M51" s="470" t="s">
        <v>121</v>
      </c>
      <c r="N51" s="76"/>
      <c r="O51" s="471" t="str">
        <f>IFERROR(VLOOKUP(K50,【参考】数式用!$A$5:$J$37,MATCH(N51,【参考】数式用!$B$4:$J$4,0)+1,0),"")</f>
        <v/>
      </c>
      <c r="P51" s="76"/>
      <c r="Q51" s="471" t="str">
        <f>IFERROR(VLOOKUP(K50,【参考】数式用!$A$5:$J$37,MATCH(P51,【参考】数式用!$B$4:$J$4,0)+1,0),"")</f>
        <v/>
      </c>
      <c r="R51" s="96" t="s">
        <v>15</v>
      </c>
      <c r="S51" s="472">
        <v>6</v>
      </c>
      <c r="T51" s="97" t="s">
        <v>10</v>
      </c>
      <c r="U51" s="58">
        <v>4</v>
      </c>
      <c r="V51" s="97" t="s">
        <v>38</v>
      </c>
      <c r="W51" s="472">
        <v>6</v>
      </c>
      <c r="X51" s="97" t="s">
        <v>10</v>
      </c>
      <c r="Y51" s="58">
        <v>5</v>
      </c>
      <c r="Z51" s="97" t="s">
        <v>13</v>
      </c>
      <c r="AA51" s="473" t="s">
        <v>20</v>
      </c>
      <c r="AB51" s="474">
        <f t="shared" si="112"/>
        <v>2</v>
      </c>
      <c r="AC51" s="97" t="s">
        <v>33</v>
      </c>
      <c r="AD51" s="475" t="str">
        <f t="shared" ref="AD51" si="127">IFERROR(ROUNDDOWN(ROUND(L50*Q51,0),0)*AB51,"")</f>
        <v/>
      </c>
      <c r="AE51" s="476" t="str">
        <f t="shared" ref="AE51" si="128">IFERROR(ROUNDDOWN(ROUND(L50*(Q51-O51),0),0)*AB51,"")</f>
        <v/>
      </c>
      <c r="AF51" s="477"/>
      <c r="AG51" s="362"/>
      <c r="AH51" s="363"/>
      <c r="AI51" s="364"/>
      <c r="AJ51" s="365"/>
      <c r="AK51" s="366"/>
      <c r="AL51" s="367"/>
      <c r="AM51" s="478"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79"/>
      <c r="AO51" s="466" t="str">
        <f>IF(K50&lt;&gt;"","P列・R列に色付け","")</f>
        <v/>
      </c>
      <c r="AX51" s="452" t="str">
        <f>G50</f>
        <v/>
      </c>
    </row>
    <row r="52" spans="1:50" ht="32.1" customHeight="1" thickBot="1">
      <c r="A52" s="1268"/>
      <c r="B52" s="1205"/>
      <c r="C52" s="1205"/>
      <c r="D52" s="1205"/>
      <c r="E52" s="1205"/>
      <c r="F52" s="1205"/>
      <c r="G52" s="1208"/>
      <c r="H52" s="1208"/>
      <c r="I52" s="1208"/>
      <c r="J52" s="1208"/>
      <c r="K52" s="1208"/>
      <c r="L52" s="1211"/>
      <c r="M52" s="480" t="s">
        <v>114</v>
      </c>
      <c r="N52" s="79"/>
      <c r="O52" s="481" t="str">
        <f>IFERROR(VLOOKUP(K50,【参考】数式用!$A$5:$J$37,MATCH(N52,【参考】数式用!$B$4:$J$4,0)+1,0),"")</f>
        <v/>
      </c>
      <c r="P52" s="77"/>
      <c r="Q52" s="481" t="str">
        <f>IFERROR(VLOOKUP(K50,【参考】数式用!$A$5:$J$37,MATCH(P52,【参考】数式用!$B$4:$J$4,0)+1,0),"")</f>
        <v/>
      </c>
      <c r="R52" s="482" t="s">
        <v>15</v>
      </c>
      <c r="S52" s="483">
        <v>6</v>
      </c>
      <c r="T52" s="484" t="s">
        <v>10</v>
      </c>
      <c r="U52" s="59">
        <v>4</v>
      </c>
      <c r="V52" s="484" t="s">
        <v>38</v>
      </c>
      <c r="W52" s="483">
        <v>6</v>
      </c>
      <c r="X52" s="484" t="s">
        <v>10</v>
      </c>
      <c r="Y52" s="59">
        <v>5</v>
      </c>
      <c r="Z52" s="484" t="s">
        <v>13</v>
      </c>
      <c r="AA52" s="485" t="s">
        <v>20</v>
      </c>
      <c r="AB52" s="486">
        <f t="shared" si="112"/>
        <v>2</v>
      </c>
      <c r="AC52" s="484" t="s">
        <v>33</v>
      </c>
      <c r="AD52" s="487" t="str">
        <f t="shared" ref="AD52" si="130">IFERROR(ROUNDDOWN(ROUND(L50*Q52,0),0)*AB52,"")</f>
        <v/>
      </c>
      <c r="AE52" s="488" t="str">
        <f t="shared" ref="AE52" si="131">IFERROR(ROUNDDOWN(ROUND(L50*(Q52-O52),0),0)*AB52,"")</f>
        <v/>
      </c>
      <c r="AF52" s="489">
        <f t="shared" ref="AF52" si="132">IF(AND(N52="ベア加算なし",P52="ベア加算"),AD52,0)</f>
        <v>0</v>
      </c>
      <c r="AG52" s="368"/>
      <c r="AH52" s="369"/>
      <c r="AI52" s="370"/>
      <c r="AJ52" s="371"/>
      <c r="AK52" s="372"/>
      <c r="AL52" s="373"/>
      <c r="AM52" s="490"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1" t="str">
        <f>IF(K50&lt;&gt;"","P列・R列に色付け","")</f>
        <v/>
      </c>
      <c r="AP52" s="492"/>
      <c r="AQ52" s="492"/>
      <c r="AW52" s="493"/>
      <c r="AX52" s="452" t="str">
        <f>G50</f>
        <v/>
      </c>
    </row>
    <row r="53" spans="1:50" ht="32.1" customHeight="1">
      <c r="A53" s="1266">
        <v>14</v>
      </c>
      <c r="B53" s="1203" t="str">
        <f>IF(基本情報入力シート!C67="","",基本情報入力シート!C67)</f>
        <v/>
      </c>
      <c r="C53" s="1203"/>
      <c r="D53" s="1203"/>
      <c r="E53" s="1203"/>
      <c r="F53" s="1203"/>
      <c r="G53" s="1206" t="str">
        <f>IF(基本情報入力シート!M67="","",基本情報入力シート!M67)</f>
        <v/>
      </c>
      <c r="H53" s="1206" t="str">
        <f>IF(基本情報入力シート!R67="","",基本情報入力シート!R67)</f>
        <v/>
      </c>
      <c r="I53" s="1206" t="str">
        <f>IF(基本情報入力シート!W67="","",基本情報入力シート!W67)</f>
        <v/>
      </c>
      <c r="J53" s="1206" t="str">
        <f>IF(基本情報入力シート!X67="","",基本情報入力シート!X67)</f>
        <v/>
      </c>
      <c r="K53" s="1206" t="str">
        <f>IF(基本情報入力シート!Y67="","",基本情報入力シート!Y67)</f>
        <v/>
      </c>
      <c r="L53" s="1209" t="str">
        <f>IF(基本情報入力シート!AB67="","",基本情報入力シート!AB67)</f>
        <v/>
      </c>
      <c r="M53" s="456" t="s">
        <v>132</v>
      </c>
      <c r="N53" s="75"/>
      <c r="O53" s="457" t="str">
        <f>IFERROR(VLOOKUP(K53,【参考】数式用!$A$5:$J$37,MATCH(N53,【参考】数式用!$B$4:$J$4,0)+1,0),"")</f>
        <v/>
      </c>
      <c r="P53" s="75"/>
      <c r="Q53" s="457" t="str">
        <f>IFERROR(VLOOKUP(K53,【参考】数式用!$A$5:$J$37,MATCH(P53,【参考】数式用!$B$4:$J$4,0)+1,0),"")</f>
        <v/>
      </c>
      <c r="R53" s="458" t="s">
        <v>15</v>
      </c>
      <c r="S53" s="459">
        <v>6</v>
      </c>
      <c r="T53" s="125" t="s">
        <v>10</v>
      </c>
      <c r="U53" s="39">
        <v>4</v>
      </c>
      <c r="V53" s="125" t="s">
        <v>38</v>
      </c>
      <c r="W53" s="459">
        <v>6</v>
      </c>
      <c r="X53" s="125" t="s">
        <v>10</v>
      </c>
      <c r="Y53" s="39">
        <v>5</v>
      </c>
      <c r="Z53" s="125" t="s">
        <v>13</v>
      </c>
      <c r="AA53" s="460" t="s">
        <v>20</v>
      </c>
      <c r="AB53" s="461">
        <f t="shared" si="112"/>
        <v>2</v>
      </c>
      <c r="AC53" s="125" t="s">
        <v>33</v>
      </c>
      <c r="AD53" s="462" t="str">
        <f t="shared" ref="AD53" si="134">IFERROR(ROUNDDOWN(ROUND(L53*Q53,0),0)*AB53,"")</f>
        <v/>
      </c>
      <c r="AE53" s="463" t="str">
        <f t="shared" si="37"/>
        <v/>
      </c>
      <c r="AF53" s="464"/>
      <c r="AG53" s="374"/>
      <c r="AH53" s="382"/>
      <c r="AI53" s="379"/>
      <c r="AJ53" s="380"/>
      <c r="AK53" s="360"/>
      <c r="AL53" s="361"/>
      <c r="AM53" s="465" t="str">
        <f t="shared" ref="AM53" si="135">IF(AO53="","",IF(Q53&lt;O53,"！加算の要件上は問題ありませんが、令和６年３月と比較して４・５月に加算率が下がる計画になっています。",""))</f>
        <v/>
      </c>
      <c r="AO53" s="466" t="str">
        <f>IF(K53&lt;&gt;"","P列・R列に色付け","")</f>
        <v/>
      </c>
      <c r="AP53" s="467" t="str">
        <f>IFERROR(VLOOKUP(K53,【参考】数式用!$AH$2:$AI$34,2,FALSE),"")</f>
        <v/>
      </c>
      <c r="AQ53" s="469" t="str">
        <f>P53&amp;P54&amp;P55</f>
        <v/>
      </c>
      <c r="AR53" s="467" t="str">
        <f t="shared" ref="AR53" si="136">IF(AF55&lt;&gt;0,IF(AG55="○","入力済","未入力"),"")</f>
        <v/>
      </c>
      <c r="AS53" s="468" t="str">
        <f>IF(OR(P53="処遇加算Ⅰ",P53="処遇加算Ⅱ"),IF(OR(AH53="○",AH53="令和６年度中に満たす"),"入力済","未入力"),"")</f>
        <v/>
      </c>
      <c r="AT53" s="469" t="str">
        <f>IF(P53="処遇加算Ⅲ",IF(AI53="○","入力済","未入力"),"")</f>
        <v/>
      </c>
      <c r="AU53" s="467" t="str">
        <f>IF(P53="処遇加算Ⅰ",IF(OR(AJ53="○",AJ53="令和６年度中に満たす"),"入力済","未入力"),"")</f>
        <v/>
      </c>
      <c r="AV53" s="467" t="str">
        <f t="shared" ref="AV53" si="137">IF(OR(P54="特定加算Ⅰ",P54="特定加算Ⅱ"),1,"")</f>
        <v/>
      </c>
      <c r="AW53" s="452" t="str">
        <f>IF(P54="特定加算Ⅰ",IF(AL54="","未入力","入力済"),"")</f>
        <v/>
      </c>
      <c r="AX53" s="452" t="str">
        <f>G53</f>
        <v/>
      </c>
    </row>
    <row r="54" spans="1:50" ht="32.1" customHeight="1">
      <c r="A54" s="1267"/>
      <c r="B54" s="1204"/>
      <c r="C54" s="1204"/>
      <c r="D54" s="1204"/>
      <c r="E54" s="1204"/>
      <c r="F54" s="1204"/>
      <c r="G54" s="1207"/>
      <c r="H54" s="1207"/>
      <c r="I54" s="1207"/>
      <c r="J54" s="1207"/>
      <c r="K54" s="1207"/>
      <c r="L54" s="1210"/>
      <c r="M54" s="470" t="s">
        <v>121</v>
      </c>
      <c r="N54" s="76"/>
      <c r="O54" s="471" t="str">
        <f>IFERROR(VLOOKUP(K53,【参考】数式用!$A$5:$J$37,MATCH(N54,【参考】数式用!$B$4:$J$4,0)+1,0),"")</f>
        <v/>
      </c>
      <c r="P54" s="76"/>
      <c r="Q54" s="471" t="str">
        <f>IFERROR(VLOOKUP(K53,【参考】数式用!$A$5:$J$37,MATCH(P54,【参考】数式用!$B$4:$J$4,0)+1,0),"")</f>
        <v/>
      </c>
      <c r="R54" s="96" t="s">
        <v>15</v>
      </c>
      <c r="S54" s="472">
        <v>6</v>
      </c>
      <c r="T54" s="97" t="s">
        <v>10</v>
      </c>
      <c r="U54" s="58">
        <v>4</v>
      </c>
      <c r="V54" s="97" t="s">
        <v>38</v>
      </c>
      <c r="W54" s="472">
        <v>6</v>
      </c>
      <c r="X54" s="97" t="s">
        <v>10</v>
      </c>
      <c r="Y54" s="58">
        <v>5</v>
      </c>
      <c r="Z54" s="97" t="s">
        <v>13</v>
      </c>
      <c r="AA54" s="473" t="s">
        <v>20</v>
      </c>
      <c r="AB54" s="474">
        <f t="shared" si="112"/>
        <v>2</v>
      </c>
      <c r="AC54" s="97" t="s">
        <v>33</v>
      </c>
      <c r="AD54" s="475" t="str">
        <f t="shared" ref="AD54" si="138">IFERROR(ROUNDDOWN(ROUND(L53*Q54,0),0)*AB54,"")</f>
        <v/>
      </c>
      <c r="AE54" s="476" t="str">
        <f t="shared" si="42"/>
        <v/>
      </c>
      <c r="AF54" s="477"/>
      <c r="AG54" s="362"/>
      <c r="AH54" s="363"/>
      <c r="AI54" s="364"/>
      <c r="AJ54" s="365"/>
      <c r="AK54" s="366"/>
      <c r="AL54" s="367"/>
      <c r="AM54" s="478"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79"/>
      <c r="AO54" s="466" t="str">
        <f>IF(K53&lt;&gt;"","P列・R列に色付け","")</f>
        <v/>
      </c>
      <c r="AX54" s="452" t="str">
        <f>G53</f>
        <v/>
      </c>
    </row>
    <row r="55" spans="1:50" ht="32.1" customHeight="1" thickBot="1">
      <c r="A55" s="1268"/>
      <c r="B55" s="1205"/>
      <c r="C55" s="1205"/>
      <c r="D55" s="1205"/>
      <c r="E55" s="1205"/>
      <c r="F55" s="1205"/>
      <c r="G55" s="1208"/>
      <c r="H55" s="1208"/>
      <c r="I55" s="1208"/>
      <c r="J55" s="1208"/>
      <c r="K55" s="1208"/>
      <c r="L55" s="1211"/>
      <c r="M55" s="480" t="s">
        <v>114</v>
      </c>
      <c r="N55" s="79"/>
      <c r="O55" s="481" t="str">
        <f>IFERROR(VLOOKUP(K53,【参考】数式用!$A$5:$J$37,MATCH(N55,【参考】数式用!$B$4:$J$4,0)+1,0),"")</f>
        <v/>
      </c>
      <c r="P55" s="77"/>
      <c r="Q55" s="481" t="str">
        <f>IFERROR(VLOOKUP(K53,【参考】数式用!$A$5:$J$37,MATCH(P55,【参考】数式用!$B$4:$J$4,0)+1,0),"")</f>
        <v/>
      </c>
      <c r="R55" s="482" t="s">
        <v>15</v>
      </c>
      <c r="S55" s="483">
        <v>6</v>
      </c>
      <c r="T55" s="484" t="s">
        <v>10</v>
      </c>
      <c r="U55" s="59">
        <v>4</v>
      </c>
      <c r="V55" s="484" t="s">
        <v>38</v>
      </c>
      <c r="W55" s="483">
        <v>6</v>
      </c>
      <c r="X55" s="484" t="s">
        <v>10</v>
      </c>
      <c r="Y55" s="59">
        <v>5</v>
      </c>
      <c r="Z55" s="484" t="s">
        <v>13</v>
      </c>
      <c r="AA55" s="485" t="s">
        <v>20</v>
      </c>
      <c r="AB55" s="486">
        <f t="shared" si="112"/>
        <v>2</v>
      </c>
      <c r="AC55" s="484" t="s">
        <v>33</v>
      </c>
      <c r="AD55" s="487" t="str">
        <f t="shared" ref="AD55" si="140">IFERROR(ROUNDDOWN(ROUND(L53*Q55,0),0)*AB55,"")</f>
        <v/>
      </c>
      <c r="AE55" s="488" t="str">
        <f t="shared" si="45"/>
        <v/>
      </c>
      <c r="AF55" s="489">
        <f t="shared" ref="AF55:AF118" si="141">IF(AND(N55="ベア加算なし",P55="ベア加算"),AD55,0)</f>
        <v>0</v>
      </c>
      <c r="AG55" s="368"/>
      <c r="AH55" s="369"/>
      <c r="AI55" s="370"/>
      <c r="AJ55" s="371"/>
      <c r="AK55" s="372"/>
      <c r="AL55" s="373"/>
      <c r="AM55" s="490"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1" t="str">
        <f>IF(K53&lt;&gt;"","P列・R列に色付け","")</f>
        <v/>
      </c>
      <c r="AP55" s="492"/>
      <c r="AQ55" s="492"/>
      <c r="AW55" s="493"/>
      <c r="AX55" s="452" t="str">
        <f>G53</f>
        <v/>
      </c>
    </row>
    <row r="56" spans="1:50" ht="32.1" customHeight="1">
      <c r="A56" s="1266">
        <v>15</v>
      </c>
      <c r="B56" s="1203" t="str">
        <f>IF(基本情報入力シート!C68="","",基本情報入力シート!C68)</f>
        <v/>
      </c>
      <c r="C56" s="1203"/>
      <c r="D56" s="1203"/>
      <c r="E56" s="1203"/>
      <c r="F56" s="1203"/>
      <c r="G56" s="1206" t="str">
        <f>IF(基本情報入力シート!M68="","",基本情報入力シート!M68)</f>
        <v/>
      </c>
      <c r="H56" s="1206" t="str">
        <f>IF(基本情報入力シート!R68="","",基本情報入力シート!R68)</f>
        <v/>
      </c>
      <c r="I56" s="1206" t="str">
        <f>IF(基本情報入力シート!W68="","",基本情報入力シート!W68)</f>
        <v/>
      </c>
      <c r="J56" s="1206" t="str">
        <f>IF(基本情報入力シート!X68="","",基本情報入力シート!X68)</f>
        <v/>
      </c>
      <c r="K56" s="1206" t="str">
        <f>IF(基本情報入力シート!Y68="","",基本情報入力シート!Y68)</f>
        <v/>
      </c>
      <c r="L56" s="1209" t="str">
        <f>IF(基本情報入力シート!AB68="","",基本情報入力シート!AB68)</f>
        <v/>
      </c>
      <c r="M56" s="456" t="s">
        <v>132</v>
      </c>
      <c r="N56" s="75"/>
      <c r="O56" s="457" t="str">
        <f>IFERROR(VLOOKUP(K56,【参考】数式用!$A$5:$J$37,MATCH(N56,【参考】数式用!$B$4:$J$4,0)+1,0),"")</f>
        <v/>
      </c>
      <c r="P56" s="75"/>
      <c r="Q56" s="457" t="str">
        <f>IFERROR(VLOOKUP(K56,【参考】数式用!$A$5:$J$37,MATCH(P56,【参考】数式用!$B$4:$J$4,0)+1,0),"")</f>
        <v/>
      </c>
      <c r="R56" s="458" t="s">
        <v>15</v>
      </c>
      <c r="S56" s="459">
        <v>6</v>
      </c>
      <c r="T56" s="125" t="s">
        <v>10</v>
      </c>
      <c r="U56" s="39">
        <v>4</v>
      </c>
      <c r="V56" s="125" t="s">
        <v>38</v>
      </c>
      <c r="W56" s="459">
        <v>6</v>
      </c>
      <c r="X56" s="125" t="s">
        <v>10</v>
      </c>
      <c r="Y56" s="39">
        <v>5</v>
      </c>
      <c r="Z56" s="125" t="s">
        <v>13</v>
      </c>
      <c r="AA56" s="460" t="s">
        <v>20</v>
      </c>
      <c r="AB56" s="461">
        <f t="shared" si="112"/>
        <v>2</v>
      </c>
      <c r="AC56" s="125" t="s">
        <v>33</v>
      </c>
      <c r="AD56" s="462" t="str">
        <f t="shared" ref="AD56" si="143">IFERROR(ROUNDDOWN(ROUND(L56*Q56,0),0)*AB56,"")</f>
        <v/>
      </c>
      <c r="AE56" s="463" t="str">
        <f t="shared" si="49"/>
        <v/>
      </c>
      <c r="AF56" s="464"/>
      <c r="AG56" s="374"/>
      <c r="AH56" s="382"/>
      <c r="AI56" s="379"/>
      <c r="AJ56" s="380"/>
      <c r="AK56" s="360"/>
      <c r="AL56" s="361"/>
      <c r="AM56" s="465" t="str">
        <f t="shared" ref="AM56" si="144">IF(AO56="","",IF(Q56&lt;O56,"！加算の要件上は問題ありませんが、令和６年３月と比較して４・５月に加算率が下がる計画になっています。",""))</f>
        <v/>
      </c>
      <c r="AO56" s="466" t="str">
        <f>IF(K56&lt;&gt;"","P列・R列に色付け","")</f>
        <v/>
      </c>
      <c r="AP56" s="467" t="str">
        <f>IFERROR(VLOOKUP(K56,【参考】数式用!$AH$2:$AI$34,2,FALSE),"")</f>
        <v/>
      </c>
      <c r="AQ56" s="469" t="str">
        <f>P56&amp;P57&amp;P58</f>
        <v/>
      </c>
      <c r="AR56" s="467" t="str">
        <f t="shared" ref="AR56" si="145">IF(AF58&lt;&gt;0,IF(AG58="○","入力済","未入力"),"")</f>
        <v/>
      </c>
      <c r="AS56" s="468" t="str">
        <f>IF(OR(P56="処遇加算Ⅰ",P56="処遇加算Ⅱ"),IF(OR(AH56="○",AH56="令和６年度中に満たす"),"入力済","未入力"),"")</f>
        <v/>
      </c>
      <c r="AT56" s="469" t="str">
        <f>IF(P56="処遇加算Ⅲ",IF(AI56="○","入力済","未入力"),"")</f>
        <v/>
      </c>
      <c r="AU56" s="467" t="str">
        <f>IF(P56="処遇加算Ⅰ",IF(OR(AJ56="○",AJ56="令和６年度中に満たす"),"入力済","未入力"),"")</f>
        <v/>
      </c>
      <c r="AV56" s="467" t="str">
        <f t="shared" ref="AV56" si="146">IF(OR(P57="特定加算Ⅰ",P57="特定加算Ⅱ"),1,"")</f>
        <v/>
      </c>
      <c r="AW56" s="452" t="str">
        <f>IF(P57="特定加算Ⅰ",IF(AL57="","未入力","入力済"),"")</f>
        <v/>
      </c>
      <c r="AX56" s="452" t="str">
        <f>G56</f>
        <v/>
      </c>
    </row>
    <row r="57" spans="1:50" ht="32.1" customHeight="1">
      <c r="A57" s="1267"/>
      <c r="B57" s="1204"/>
      <c r="C57" s="1204"/>
      <c r="D57" s="1204"/>
      <c r="E57" s="1204"/>
      <c r="F57" s="1204"/>
      <c r="G57" s="1207"/>
      <c r="H57" s="1207"/>
      <c r="I57" s="1207"/>
      <c r="J57" s="1207"/>
      <c r="K57" s="1207"/>
      <c r="L57" s="1210"/>
      <c r="M57" s="470" t="s">
        <v>121</v>
      </c>
      <c r="N57" s="76"/>
      <c r="O57" s="471" t="str">
        <f>IFERROR(VLOOKUP(K56,【参考】数式用!$A$5:$J$37,MATCH(N57,【参考】数式用!$B$4:$J$4,0)+1,0),"")</f>
        <v/>
      </c>
      <c r="P57" s="76"/>
      <c r="Q57" s="471" t="str">
        <f>IFERROR(VLOOKUP(K56,【参考】数式用!$A$5:$J$37,MATCH(P57,【参考】数式用!$B$4:$J$4,0)+1,0),"")</f>
        <v/>
      </c>
      <c r="R57" s="96" t="s">
        <v>15</v>
      </c>
      <c r="S57" s="472">
        <v>6</v>
      </c>
      <c r="T57" s="97" t="s">
        <v>10</v>
      </c>
      <c r="U57" s="58">
        <v>4</v>
      </c>
      <c r="V57" s="97" t="s">
        <v>38</v>
      </c>
      <c r="W57" s="472">
        <v>6</v>
      </c>
      <c r="X57" s="97" t="s">
        <v>10</v>
      </c>
      <c r="Y57" s="58">
        <v>5</v>
      </c>
      <c r="Z57" s="97" t="s">
        <v>13</v>
      </c>
      <c r="AA57" s="473" t="s">
        <v>20</v>
      </c>
      <c r="AB57" s="474">
        <f t="shared" si="112"/>
        <v>2</v>
      </c>
      <c r="AC57" s="97" t="s">
        <v>33</v>
      </c>
      <c r="AD57" s="475" t="str">
        <f t="shared" ref="AD57" si="147">IFERROR(ROUNDDOWN(ROUND(L56*Q57,0),0)*AB57,"")</f>
        <v/>
      </c>
      <c r="AE57" s="476" t="str">
        <f t="shared" si="54"/>
        <v/>
      </c>
      <c r="AF57" s="477"/>
      <c r="AG57" s="362"/>
      <c r="AH57" s="363"/>
      <c r="AI57" s="364"/>
      <c r="AJ57" s="365"/>
      <c r="AK57" s="366"/>
      <c r="AL57" s="367"/>
      <c r="AM57" s="478"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79"/>
      <c r="AO57" s="466" t="str">
        <f>IF(K56&lt;&gt;"","P列・R列に色付け","")</f>
        <v/>
      </c>
      <c r="AX57" s="452" t="str">
        <f>G56</f>
        <v/>
      </c>
    </row>
    <row r="58" spans="1:50" ht="32.1" customHeight="1" thickBot="1">
      <c r="A58" s="1268"/>
      <c r="B58" s="1205"/>
      <c r="C58" s="1205"/>
      <c r="D58" s="1205"/>
      <c r="E58" s="1205"/>
      <c r="F58" s="1205"/>
      <c r="G58" s="1208"/>
      <c r="H58" s="1208"/>
      <c r="I58" s="1208"/>
      <c r="J58" s="1208"/>
      <c r="K58" s="1208"/>
      <c r="L58" s="1211"/>
      <c r="M58" s="480" t="s">
        <v>114</v>
      </c>
      <c r="N58" s="79"/>
      <c r="O58" s="481" t="str">
        <f>IFERROR(VLOOKUP(K56,【参考】数式用!$A$5:$J$37,MATCH(N58,【参考】数式用!$B$4:$J$4,0)+1,0),"")</f>
        <v/>
      </c>
      <c r="P58" s="77"/>
      <c r="Q58" s="481" t="str">
        <f>IFERROR(VLOOKUP(K56,【参考】数式用!$A$5:$J$37,MATCH(P58,【参考】数式用!$B$4:$J$4,0)+1,0),"")</f>
        <v/>
      </c>
      <c r="R58" s="482" t="s">
        <v>15</v>
      </c>
      <c r="S58" s="483">
        <v>6</v>
      </c>
      <c r="T58" s="484" t="s">
        <v>10</v>
      </c>
      <c r="U58" s="59">
        <v>4</v>
      </c>
      <c r="V58" s="484" t="s">
        <v>38</v>
      </c>
      <c r="W58" s="483">
        <v>6</v>
      </c>
      <c r="X58" s="484" t="s">
        <v>10</v>
      </c>
      <c r="Y58" s="59">
        <v>5</v>
      </c>
      <c r="Z58" s="484" t="s">
        <v>13</v>
      </c>
      <c r="AA58" s="485" t="s">
        <v>20</v>
      </c>
      <c r="AB58" s="486">
        <f t="shared" si="112"/>
        <v>2</v>
      </c>
      <c r="AC58" s="484" t="s">
        <v>33</v>
      </c>
      <c r="AD58" s="487" t="str">
        <f t="shared" ref="AD58" si="149">IFERROR(ROUNDDOWN(ROUND(L56*Q58,0),0)*AB58,"")</f>
        <v/>
      </c>
      <c r="AE58" s="488" t="str">
        <f t="shared" si="57"/>
        <v/>
      </c>
      <c r="AF58" s="489">
        <f t="shared" si="141"/>
        <v>0</v>
      </c>
      <c r="AG58" s="368"/>
      <c r="AH58" s="369"/>
      <c r="AI58" s="370"/>
      <c r="AJ58" s="371"/>
      <c r="AK58" s="372"/>
      <c r="AL58" s="373"/>
      <c r="AM58" s="490"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1" t="str">
        <f>IF(K56&lt;&gt;"","P列・R列に色付け","")</f>
        <v/>
      </c>
      <c r="AP58" s="492"/>
      <c r="AQ58" s="492"/>
      <c r="AW58" s="493"/>
      <c r="AX58" s="452" t="str">
        <f>G56</f>
        <v/>
      </c>
    </row>
    <row r="59" spans="1:50" ht="32.1" customHeight="1">
      <c r="A59" s="1266">
        <v>16</v>
      </c>
      <c r="B59" s="1203" t="str">
        <f>IF(基本情報入力シート!C69="","",基本情報入力シート!C69)</f>
        <v/>
      </c>
      <c r="C59" s="1203"/>
      <c r="D59" s="1203"/>
      <c r="E59" s="1203"/>
      <c r="F59" s="1203"/>
      <c r="G59" s="1206" t="str">
        <f>IF(基本情報入力シート!M69="","",基本情報入力シート!M69)</f>
        <v/>
      </c>
      <c r="H59" s="1206" t="str">
        <f>IF(基本情報入力シート!R69="","",基本情報入力シート!R69)</f>
        <v/>
      </c>
      <c r="I59" s="1206" t="str">
        <f>IF(基本情報入力シート!W69="","",基本情報入力シート!W69)</f>
        <v/>
      </c>
      <c r="J59" s="1206" t="str">
        <f>IF(基本情報入力シート!X69="","",基本情報入力シート!X69)</f>
        <v/>
      </c>
      <c r="K59" s="1206" t="str">
        <f>IF(基本情報入力シート!Y69="","",基本情報入力シート!Y69)</f>
        <v/>
      </c>
      <c r="L59" s="1209" t="str">
        <f>IF(基本情報入力シート!AB69="","",基本情報入力シート!AB69)</f>
        <v/>
      </c>
      <c r="M59" s="456" t="s">
        <v>132</v>
      </c>
      <c r="N59" s="75"/>
      <c r="O59" s="457" t="str">
        <f>IFERROR(VLOOKUP(K59,【参考】数式用!$A$5:$J$37,MATCH(N59,【参考】数式用!$B$4:$J$4,0)+1,0),"")</f>
        <v/>
      </c>
      <c r="P59" s="75"/>
      <c r="Q59" s="457" t="str">
        <f>IFERROR(VLOOKUP(K59,【参考】数式用!$A$5:$J$37,MATCH(P59,【参考】数式用!$B$4:$J$4,0)+1,0),"")</f>
        <v/>
      </c>
      <c r="R59" s="458" t="s">
        <v>15</v>
      </c>
      <c r="S59" s="459">
        <v>6</v>
      </c>
      <c r="T59" s="125" t="s">
        <v>10</v>
      </c>
      <c r="U59" s="39">
        <v>4</v>
      </c>
      <c r="V59" s="125" t="s">
        <v>38</v>
      </c>
      <c r="W59" s="459">
        <v>6</v>
      </c>
      <c r="X59" s="125" t="s">
        <v>10</v>
      </c>
      <c r="Y59" s="39">
        <v>5</v>
      </c>
      <c r="Z59" s="125" t="s">
        <v>13</v>
      </c>
      <c r="AA59" s="460" t="s">
        <v>20</v>
      </c>
      <c r="AB59" s="461">
        <f t="shared" si="112"/>
        <v>2</v>
      </c>
      <c r="AC59" s="125" t="s">
        <v>33</v>
      </c>
      <c r="AD59" s="462" t="str">
        <f t="shared" ref="AD59" si="151">IFERROR(ROUNDDOWN(ROUND(L59*Q59,0),0)*AB59,"")</f>
        <v/>
      </c>
      <c r="AE59" s="463" t="str">
        <f t="shared" ref="AE59" si="152">IFERROR(ROUNDDOWN(ROUND(L59*(Q59-O59),0),0)*AB59,"")</f>
        <v/>
      </c>
      <c r="AF59" s="464"/>
      <c r="AG59" s="374"/>
      <c r="AH59" s="382"/>
      <c r="AI59" s="379"/>
      <c r="AJ59" s="380"/>
      <c r="AK59" s="360"/>
      <c r="AL59" s="361"/>
      <c r="AM59" s="465" t="str">
        <f t="shared" ref="AM59" si="153">IF(AO59="","",IF(Q59&lt;O59,"！加算の要件上は問題ありませんが、令和６年３月と比較して４・５月に加算率が下がる計画になっています。",""))</f>
        <v/>
      </c>
      <c r="AO59" s="466" t="str">
        <f>IF(K59&lt;&gt;"","P列・R列に色付け","")</f>
        <v/>
      </c>
      <c r="AP59" s="467" t="str">
        <f>IFERROR(VLOOKUP(K59,【参考】数式用!$AH$2:$AI$34,2,FALSE),"")</f>
        <v/>
      </c>
      <c r="AQ59" s="469" t="str">
        <f>P59&amp;P60&amp;P61</f>
        <v/>
      </c>
      <c r="AR59" s="467" t="str">
        <f t="shared" ref="AR59" si="154">IF(AF61&lt;&gt;0,IF(AG61="○","入力済","未入力"),"")</f>
        <v/>
      </c>
      <c r="AS59" s="468" t="str">
        <f>IF(OR(P59="処遇加算Ⅰ",P59="処遇加算Ⅱ"),IF(OR(AH59="○",AH59="令和６年度中に満たす"),"入力済","未入力"),"")</f>
        <v/>
      </c>
      <c r="AT59" s="469" t="str">
        <f>IF(P59="処遇加算Ⅲ",IF(AI59="○","入力済","未入力"),"")</f>
        <v/>
      </c>
      <c r="AU59" s="467" t="str">
        <f>IF(P59="処遇加算Ⅰ",IF(OR(AJ59="○",AJ59="令和６年度中に満たす"),"入力済","未入力"),"")</f>
        <v/>
      </c>
      <c r="AV59" s="467" t="str">
        <f t="shared" ref="AV59" si="155">IF(OR(P60="特定加算Ⅰ",P60="特定加算Ⅱ"),1,"")</f>
        <v/>
      </c>
      <c r="AW59" s="452" t="str">
        <f>IF(P60="特定加算Ⅰ",IF(AL60="","未入力","入力済"),"")</f>
        <v/>
      </c>
      <c r="AX59" s="452" t="str">
        <f>G59</f>
        <v/>
      </c>
    </row>
    <row r="60" spans="1:50" ht="32.1" customHeight="1">
      <c r="A60" s="1267"/>
      <c r="B60" s="1204"/>
      <c r="C60" s="1204"/>
      <c r="D60" s="1204"/>
      <c r="E60" s="1204"/>
      <c r="F60" s="1204"/>
      <c r="G60" s="1207"/>
      <c r="H60" s="1207"/>
      <c r="I60" s="1207"/>
      <c r="J60" s="1207"/>
      <c r="K60" s="1207"/>
      <c r="L60" s="1210"/>
      <c r="M60" s="470" t="s">
        <v>121</v>
      </c>
      <c r="N60" s="76"/>
      <c r="O60" s="471" t="str">
        <f>IFERROR(VLOOKUP(K59,【参考】数式用!$A$5:$J$37,MATCH(N60,【参考】数式用!$B$4:$J$4,0)+1,0),"")</f>
        <v/>
      </c>
      <c r="P60" s="76"/>
      <c r="Q60" s="471" t="str">
        <f>IFERROR(VLOOKUP(K59,【参考】数式用!$A$5:$J$37,MATCH(P60,【参考】数式用!$B$4:$J$4,0)+1,0),"")</f>
        <v/>
      </c>
      <c r="R60" s="96" t="s">
        <v>15</v>
      </c>
      <c r="S60" s="472">
        <v>6</v>
      </c>
      <c r="T60" s="97" t="s">
        <v>10</v>
      </c>
      <c r="U60" s="58">
        <v>4</v>
      </c>
      <c r="V60" s="97" t="s">
        <v>38</v>
      </c>
      <c r="W60" s="472">
        <v>6</v>
      </c>
      <c r="X60" s="97" t="s">
        <v>10</v>
      </c>
      <c r="Y60" s="58">
        <v>5</v>
      </c>
      <c r="Z60" s="97" t="s">
        <v>13</v>
      </c>
      <c r="AA60" s="473" t="s">
        <v>20</v>
      </c>
      <c r="AB60" s="474">
        <f t="shared" si="112"/>
        <v>2</v>
      </c>
      <c r="AC60" s="97" t="s">
        <v>33</v>
      </c>
      <c r="AD60" s="475" t="str">
        <f t="shared" ref="AD60" si="156">IFERROR(ROUNDDOWN(ROUND(L59*Q60,0),0)*AB60,"")</f>
        <v/>
      </c>
      <c r="AE60" s="476" t="str">
        <f t="shared" ref="AE60" si="157">IFERROR(ROUNDDOWN(ROUND(L59*(Q60-O60),0),0)*AB60,"")</f>
        <v/>
      </c>
      <c r="AF60" s="477"/>
      <c r="AG60" s="362"/>
      <c r="AH60" s="363"/>
      <c r="AI60" s="364"/>
      <c r="AJ60" s="365"/>
      <c r="AK60" s="366"/>
      <c r="AL60" s="367"/>
      <c r="AM60" s="478"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79"/>
      <c r="AO60" s="466" t="str">
        <f>IF(K59&lt;&gt;"","P列・R列に色付け","")</f>
        <v/>
      </c>
      <c r="AX60" s="452" t="str">
        <f>G59</f>
        <v/>
      </c>
    </row>
    <row r="61" spans="1:50" ht="32.1" customHeight="1" thickBot="1">
      <c r="A61" s="1268"/>
      <c r="B61" s="1205"/>
      <c r="C61" s="1205"/>
      <c r="D61" s="1205"/>
      <c r="E61" s="1205"/>
      <c r="F61" s="1205"/>
      <c r="G61" s="1208"/>
      <c r="H61" s="1208"/>
      <c r="I61" s="1208"/>
      <c r="J61" s="1208"/>
      <c r="K61" s="1208"/>
      <c r="L61" s="1211"/>
      <c r="M61" s="480" t="s">
        <v>114</v>
      </c>
      <c r="N61" s="79"/>
      <c r="O61" s="481" t="str">
        <f>IFERROR(VLOOKUP(K59,【参考】数式用!$A$5:$J$37,MATCH(N61,【参考】数式用!$B$4:$J$4,0)+1,0),"")</f>
        <v/>
      </c>
      <c r="P61" s="77"/>
      <c r="Q61" s="481" t="str">
        <f>IFERROR(VLOOKUP(K59,【参考】数式用!$A$5:$J$37,MATCH(P61,【参考】数式用!$B$4:$J$4,0)+1,0),"")</f>
        <v/>
      </c>
      <c r="R61" s="482" t="s">
        <v>15</v>
      </c>
      <c r="S61" s="483">
        <v>6</v>
      </c>
      <c r="T61" s="484" t="s">
        <v>10</v>
      </c>
      <c r="U61" s="59">
        <v>4</v>
      </c>
      <c r="V61" s="484" t="s">
        <v>38</v>
      </c>
      <c r="W61" s="483">
        <v>6</v>
      </c>
      <c r="X61" s="484" t="s">
        <v>10</v>
      </c>
      <c r="Y61" s="59">
        <v>5</v>
      </c>
      <c r="Z61" s="484" t="s">
        <v>13</v>
      </c>
      <c r="AA61" s="485" t="s">
        <v>20</v>
      </c>
      <c r="AB61" s="486">
        <f t="shared" si="112"/>
        <v>2</v>
      </c>
      <c r="AC61" s="484" t="s">
        <v>33</v>
      </c>
      <c r="AD61" s="487" t="str">
        <f t="shared" ref="AD61" si="159">IFERROR(ROUNDDOWN(ROUND(L59*Q61,0),0)*AB61,"")</f>
        <v/>
      </c>
      <c r="AE61" s="488" t="str">
        <f t="shared" ref="AE61" si="160">IFERROR(ROUNDDOWN(ROUND(L59*(Q61-O61),0),0)*AB61,"")</f>
        <v/>
      </c>
      <c r="AF61" s="489">
        <f t="shared" si="141"/>
        <v>0</v>
      </c>
      <c r="AG61" s="368"/>
      <c r="AH61" s="369"/>
      <c r="AI61" s="370"/>
      <c r="AJ61" s="371"/>
      <c r="AK61" s="372"/>
      <c r="AL61" s="373"/>
      <c r="AM61" s="490"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1" t="str">
        <f>IF(K59&lt;&gt;"","P列・R列に色付け","")</f>
        <v/>
      </c>
      <c r="AP61" s="492"/>
      <c r="AQ61" s="492"/>
      <c r="AW61" s="493"/>
      <c r="AX61" s="452" t="str">
        <f>G59</f>
        <v/>
      </c>
    </row>
    <row r="62" spans="1:50" ht="32.1" customHeight="1">
      <c r="A62" s="1266">
        <v>17</v>
      </c>
      <c r="B62" s="1203" t="str">
        <f>IF(基本情報入力シート!C70="","",基本情報入力シート!C70)</f>
        <v/>
      </c>
      <c r="C62" s="1203"/>
      <c r="D62" s="1203"/>
      <c r="E62" s="1203"/>
      <c r="F62" s="1203"/>
      <c r="G62" s="1206" t="str">
        <f>IF(基本情報入力シート!M70="","",基本情報入力シート!M70)</f>
        <v/>
      </c>
      <c r="H62" s="1206" t="str">
        <f>IF(基本情報入力シート!R70="","",基本情報入力シート!R70)</f>
        <v/>
      </c>
      <c r="I62" s="1206" t="str">
        <f>IF(基本情報入力シート!W70="","",基本情報入力シート!W70)</f>
        <v/>
      </c>
      <c r="J62" s="1206" t="str">
        <f>IF(基本情報入力シート!X70="","",基本情報入力シート!X70)</f>
        <v/>
      </c>
      <c r="K62" s="1206" t="str">
        <f>IF(基本情報入力シート!Y70="","",基本情報入力シート!Y70)</f>
        <v/>
      </c>
      <c r="L62" s="1209" t="str">
        <f>IF(基本情報入力シート!AB70="","",基本情報入力シート!AB70)</f>
        <v/>
      </c>
      <c r="M62" s="456" t="s">
        <v>132</v>
      </c>
      <c r="N62" s="75"/>
      <c r="O62" s="457" t="str">
        <f>IFERROR(VLOOKUP(K62,【参考】数式用!$A$5:$J$37,MATCH(N62,【参考】数式用!$B$4:$J$4,0)+1,0),"")</f>
        <v/>
      </c>
      <c r="P62" s="75"/>
      <c r="Q62" s="457" t="str">
        <f>IFERROR(VLOOKUP(K62,【参考】数式用!$A$5:$J$37,MATCH(P62,【参考】数式用!$B$4:$J$4,0)+1,0),"")</f>
        <v/>
      </c>
      <c r="R62" s="458" t="s">
        <v>15</v>
      </c>
      <c r="S62" s="459">
        <v>6</v>
      </c>
      <c r="T62" s="125" t="s">
        <v>10</v>
      </c>
      <c r="U62" s="39">
        <v>4</v>
      </c>
      <c r="V62" s="125" t="s">
        <v>38</v>
      </c>
      <c r="W62" s="459">
        <v>6</v>
      </c>
      <c r="X62" s="125" t="s">
        <v>10</v>
      </c>
      <c r="Y62" s="39">
        <v>5</v>
      </c>
      <c r="Z62" s="125" t="s">
        <v>13</v>
      </c>
      <c r="AA62" s="460" t="s">
        <v>20</v>
      </c>
      <c r="AB62" s="461">
        <f t="shared" si="112"/>
        <v>2</v>
      </c>
      <c r="AC62" s="125" t="s">
        <v>33</v>
      </c>
      <c r="AD62" s="462" t="str">
        <f t="shared" ref="AD62" si="162">IFERROR(ROUNDDOWN(ROUND(L62*Q62,0),0)*AB62,"")</f>
        <v/>
      </c>
      <c r="AE62" s="463" t="str">
        <f t="shared" si="37"/>
        <v/>
      </c>
      <c r="AF62" s="464"/>
      <c r="AG62" s="374"/>
      <c r="AH62" s="382"/>
      <c r="AI62" s="379"/>
      <c r="AJ62" s="380"/>
      <c r="AK62" s="360"/>
      <c r="AL62" s="361"/>
      <c r="AM62" s="465" t="str">
        <f t="shared" ref="AM62" si="163">IF(AO62="","",IF(Q62&lt;O62,"！加算の要件上は問題ありませんが、令和６年３月と比較して４・５月に加算率が下がる計画になっています。",""))</f>
        <v/>
      </c>
      <c r="AO62" s="466" t="str">
        <f>IF(K62&lt;&gt;"","P列・R列に色付け","")</f>
        <v/>
      </c>
      <c r="AP62" s="467" t="str">
        <f>IFERROR(VLOOKUP(K62,【参考】数式用!$AH$2:$AI$34,2,FALSE),"")</f>
        <v/>
      </c>
      <c r="AQ62" s="469" t="str">
        <f>P62&amp;P63&amp;P64</f>
        <v/>
      </c>
      <c r="AR62" s="467" t="str">
        <f t="shared" ref="AR62" si="164">IF(AF64&lt;&gt;0,IF(AG64="○","入力済","未入力"),"")</f>
        <v/>
      </c>
      <c r="AS62" s="468" t="str">
        <f>IF(OR(P62="処遇加算Ⅰ",P62="処遇加算Ⅱ"),IF(OR(AH62="○",AH62="令和６年度中に満たす"),"入力済","未入力"),"")</f>
        <v/>
      </c>
      <c r="AT62" s="469" t="str">
        <f>IF(P62="処遇加算Ⅲ",IF(AI62="○","入力済","未入力"),"")</f>
        <v/>
      </c>
      <c r="AU62" s="467" t="str">
        <f>IF(P62="処遇加算Ⅰ",IF(OR(AJ62="○",AJ62="令和６年度中に満たす"),"入力済","未入力"),"")</f>
        <v/>
      </c>
      <c r="AV62" s="467" t="str">
        <f t="shared" ref="AV62" si="165">IF(OR(P63="特定加算Ⅰ",P63="特定加算Ⅱ"),1,"")</f>
        <v/>
      </c>
      <c r="AW62" s="452" t="str">
        <f>IF(P63="特定加算Ⅰ",IF(AL63="","未入力","入力済"),"")</f>
        <v/>
      </c>
      <c r="AX62" s="452" t="str">
        <f>G62</f>
        <v/>
      </c>
    </row>
    <row r="63" spans="1:50" ht="32.1" customHeight="1">
      <c r="A63" s="1267"/>
      <c r="B63" s="1204"/>
      <c r="C63" s="1204"/>
      <c r="D63" s="1204"/>
      <c r="E63" s="1204"/>
      <c r="F63" s="1204"/>
      <c r="G63" s="1207"/>
      <c r="H63" s="1207"/>
      <c r="I63" s="1207"/>
      <c r="J63" s="1207"/>
      <c r="K63" s="1207"/>
      <c r="L63" s="1210"/>
      <c r="M63" s="470" t="s">
        <v>121</v>
      </c>
      <c r="N63" s="76"/>
      <c r="O63" s="471" t="str">
        <f>IFERROR(VLOOKUP(K62,【参考】数式用!$A$5:$J$37,MATCH(N63,【参考】数式用!$B$4:$J$4,0)+1,0),"")</f>
        <v/>
      </c>
      <c r="P63" s="76"/>
      <c r="Q63" s="471" t="str">
        <f>IFERROR(VLOOKUP(K62,【参考】数式用!$A$5:$J$37,MATCH(P63,【参考】数式用!$B$4:$J$4,0)+1,0),"")</f>
        <v/>
      </c>
      <c r="R63" s="96" t="s">
        <v>15</v>
      </c>
      <c r="S63" s="472">
        <v>6</v>
      </c>
      <c r="T63" s="97" t="s">
        <v>10</v>
      </c>
      <c r="U63" s="58">
        <v>4</v>
      </c>
      <c r="V63" s="97" t="s">
        <v>38</v>
      </c>
      <c r="W63" s="472">
        <v>6</v>
      </c>
      <c r="X63" s="97" t="s">
        <v>10</v>
      </c>
      <c r="Y63" s="58">
        <v>5</v>
      </c>
      <c r="Z63" s="97" t="s">
        <v>13</v>
      </c>
      <c r="AA63" s="473" t="s">
        <v>20</v>
      </c>
      <c r="AB63" s="474">
        <f t="shared" si="112"/>
        <v>2</v>
      </c>
      <c r="AC63" s="97" t="s">
        <v>33</v>
      </c>
      <c r="AD63" s="475" t="str">
        <f t="shared" ref="AD63" si="166">IFERROR(ROUNDDOWN(ROUND(L62*Q63,0),0)*AB63,"")</f>
        <v/>
      </c>
      <c r="AE63" s="476" t="str">
        <f t="shared" si="42"/>
        <v/>
      </c>
      <c r="AF63" s="477"/>
      <c r="AG63" s="362"/>
      <c r="AH63" s="363"/>
      <c r="AI63" s="364"/>
      <c r="AJ63" s="365"/>
      <c r="AK63" s="366"/>
      <c r="AL63" s="367"/>
      <c r="AM63" s="478"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79"/>
      <c r="AO63" s="466" t="str">
        <f>IF(K62&lt;&gt;"","P列・R列に色付け","")</f>
        <v/>
      </c>
      <c r="AX63" s="452" t="str">
        <f>G62</f>
        <v/>
      </c>
    </row>
    <row r="64" spans="1:50" ht="32.1" customHeight="1" thickBot="1">
      <c r="A64" s="1268"/>
      <c r="B64" s="1205"/>
      <c r="C64" s="1205"/>
      <c r="D64" s="1205"/>
      <c r="E64" s="1205"/>
      <c r="F64" s="1205"/>
      <c r="G64" s="1208"/>
      <c r="H64" s="1208"/>
      <c r="I64" s="1208"/>
      <c r="J64" s="1208"/>
      <c r="K64" s="1208"/>
      <c r="L64" s="1211"/>
      <c r="M64" s="480" t="s">
        <v>114</v>
      </c>
      <c r="N64" s="79"/>
      <c r="O64" s="481" t="str">
        <f>IFERROR(VLOOKUP(K62,【参考】数式用!$A$5:$J$37,MATCH(N64,【参考】数式用!$B$4:$J$4,0)+1,0),"")</f>
        <v/>
      </c>
      <c r="P64" s="77"/>
      <c r="Q64" s="481" t="str">
        <f>IFERROR(VLOOKUP(K62,【参考】数式用!$A$5:$J$37,MATCH(P64,【参考】数式用!$B$4:$J$4,0)+1,0),"")</f>
        <v/>
      </c>
      <c r="R64" s="482" t="s">
        <v>15</v>
      </c>
      <c r="S64" s="483">
        <v>6</v>
      </c>
      <c r="T64" s="484" t="s">
        <v>10</v>
      </c>
      <c r="U64" s="59">
        <v>4</v>
      </c>
      <c r="V64" s="484" t="s">
        <v>38</v>
      </c>
      <c r="W64" s="483">
        <v>6</v>
      </c>
      <c r="X64" s="484" t="s">
        <v>10</v>
      </c>
      <c r="Y64" s="59">
        <v>5</v>
      </c>
      <c r="Z64" s="484" t="s">
        <v>13</v>
      </c>
      <c r="AA64" s="485" t="s">
        <v>20</v>
      </c>
      <c r="AB64" s="486">
        <f t="shared" si="112"/>
        <v>2</v>
      </c>
      <c r="AC64" s="484" t="s">
        <v>33</v>
      </c>
      <c r="AD64" s="487" t="str">
        <f t="shared" ref="AD64" si="168">IFERROR(ROUNDDOWN(ROUND(L62*Q64,0),0)*AB64,"")</f>
        <v/>
      </c>
      <c r="AE64" s="488" t="str">
        <f t="shared" si="45"/>
        <v/>
      </c>
      <c r="AF64" s="489">
        <f t="shared" si="141"/>
        <v>0</v>
      </c>
      <c r="AG64" s="368"/>
      <c r="AH64" s="369"/>
      <c r="AI64" s="370"/>
      <c r="AJ64" s="371"/>
      <c r="AK64" s="372"/>
      <c r="AL64" s="373"/>
      <c r="AM64" s="490"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1" t="str">
        <f>IF(K62&lt;&gt;"","P列・R列に色付け","")</f>
        <v/>
      </c>
      <c r="AP64" s="492"/>
      <c r="AQ64" s="492"/>
      <c r="AW64" s="493"/>
      <c r="AX64" s="452" t="str">
        <f>G62</f>
        <v/>
      </c>
    </row>
    <row r="65" spans="1:50" ht="32.1" customHeight="1">
      <c r="A65" s="1266">
        <v>18</v>
      </c>
      <c r="B65" s="1203" t="str">
        <f>IF(基本情報入力シート!C71="","",基本情報入力シート!C71)</f>
        <v/>
      </c>
      <c r="C65" s="1203"/>
      <c r="D65" s="1203"/>
      <c r="E65" s="1203"/>
      <c r="F65" s="1203"/>
      <c r="G65" s="1206" t="str">
        <f>IF(基本情報入力シート!M71="","",基本情報入力シート!M71)</f>
        <v/>
      </c>
      <c r="H65" s="1206" t="str">
        <f>IF(基本情報入力シート!R71="","",基本情報入力シート!R71)</f>
        <v/>
      </c>
      <c r="I65" s="1206" t="str">
        <f>IF(基本情報入力シート!W71="","",基本情報入力シート!W71)</f>
        <v/>
      </c>
      <c r="J65" s="1206" t="str">
        <f>IF(基本情報入力シート!X71="","",基本情報入力シート!X71)</f>
        <v/>
      </c>
      <c r="K65" s="1206" t="str">
        <f>IF(基本情報入力シート!Y71="","",基本情報入力シート!Y71)</f>
        <v/>
      </c>
      <c r="L65" s="1209" t="str">
        <f>IF(基本情報入力シート!AB71="","",基本情報入力シート!AB71)</f>
        <v/>
      </c>
      <c r="M65" s="456" t="s">
        <v>132</v>
      </c>
      <c r="N65" s="75"/>
      <c r="O65" s="457" t="str">
        <f>IFERROR(VLOOKUP(K65,【参考】数式用!$A$5:$J$37,MATCH(N65,【参考】数式用!$B$4:$J$4,0)+1,0),"")</f>
        <v/>
      </c>
      <c r="P65" s="75"/>
      <c r="Q65" s="457" t="str">
        <f>IFERROR(VLOOKUP(K65,【参考】数式用!$A$5:$J$37,MATCH(P65,【参考】数式用!$B$4:$J$4,0)+1,0),"")</f>
        <v/>
      </c>
      <c r="R65" s="458" t="s">
        <v>15</v>
      </c>
      <c r="S65" s="459">
        <v>6</v>
      </c>
      <c r="T65" s="125" t="s">
        <v>10</v>
      </c>
      <c r="U65" s="39">
        <v>4</v>
      </c>
      <c r="V65" s="125" t="s">
        <v>38</v>
      </c>
      <c r="W65" s="459">
        <v>6</v>
      </c>
      <c r="X65" s="125" t="s">
        <v>10</v>
      </c>
      <c r="Y65" s="39">
        <v>5</v>
      </c>
      <c r="Z65" s="125" t="s">
        <v>13</v>
      </c>
      <c r="AA65" s="460" t="s">
        <v>20</v>
      </c>
      <c r="AB65" s="461">
        <f t="shared" si="112"/>
        <v>2</v>
      </c>
      <c r="AC65" s="125" t="s">
        <v>33</v>
      </c>
      <c r="AD65" s="462" t="str">
        <f t="shared" ref="AD65" si="170">IFERROR(ROUNDDOWN(ROUND(L65*Q65,0),0)*AB65,"")</f>
        <v/>
      </c>
      <c r="AE65" s="463" t="str">
        <f t="shared" si="49"/>
        <v/>
      </c>
      <c r="AF65" s="464"/>
      <c r="AG65" s="374"/>
      <c r="AH65" s="382"/>
      <c r="AI65" s="379"/>
      <c r="AJ65" s="380"/>
      <c r="AK65" s="360"/>
      <c r="AL65" s="361"/>
      <c r="AM65" s="465" t="str">
        <f t="shared" ref="AM65" si="171">IF(AO65="","",IF(Q65&lt;O65,"！加算の要件上は問題ありませんが、令和６年３月と比較して４・５月に加算率が下がる計画になっています。",""))</f>
        <v/>
      </c>
      <c r="AO65" s="466" t="str">
        <f>IF(K65&lt;&gt;"","P列・R列に色付け","")</f>
        <v/>
      </c>
      <c r="AP65" s="467" t="str">
        <f>IFERROR(VLOOKUP(K65,【参考】数式用!$AH$2:$AI$34,2,FALSE),"")</f>
        <v/>
      </c>
      <c r="AQ65" s="469" t="str">
        <f>P65&amp;P66&amp;P67</f>
        <v/>
      </c>
      <c r="AR65" s="467" t="str">
        <f t="shared" ref="AR65" si="172">IF(AF67&lt;&gt;0,IF(AG67="○","入力済","未入力"),"")</f>
        <v/>
      </c>
      <c r="AS65" s="468" t="str">
        <f>IF(OR(P65="処遇加算Ⅰ",P65="処遇加算Ⅱ"),IF(OR(AH65="○",AH65="令和６年度中に満たす"),"入力済","未入力"),"")</f>
        <v/>
      </c>
      <c r="AT65" s="469" t="str">
        <f>IF(P65="処遇加算Ⅲ",IF(AI65="○","入力済","未入力"),"")</f>
        <v/>
      </c>
      <c r="AU65" s="467" t="str">
        <f>IF(P65="処遇加算Ⅰ",IF(OR(AJ65="○",AJ65="令和６年度中に満たす"),"入力済","未入力"),"")</f>
        <v/>
      </c>
      <c r="AV65" s="467" t="str">
        <f t="shared" ref="AV65" si="173">IF(OR(P66="特定加算Ⅰ",P66="特定加算Ⅱ"),1,"")</f>
        <v/>
      </c>
      <c r="AW65" s="452" t="str">
        <f>IF(P66="特定加算Ⅰ",IF(AL66="","未入力","入力済"),"")</f>
        <v/>
      </c>
      <c r="AX65" s="452" t="str">
        <f>G65</f>
        <v/>
      </c>
    </row>
    <row r="66" spans="1:50" ht="32.1" customHeight="1">
      <c r="A66" s="1267"/>
      <c r="B66" s="1204"/>
      <c r="C66" s="1204"/>
      <c r="D66" s="1204"/>
      <c r="E66" s="1204"/>
      <c r="F66" s="1204"/>
      <c r="G66" s="1207"/>
      <c r="H66" s="1207"/>
      <c r="I66" s="1207"/>
      <c r="J66" s="1207"/>
      <c r="K66" s="1207"/>
      <c r="L66" s="1210"/>
      <c r="M66" s="470" t="s">
        <v>121</v>
      </c>
      <c r="N66" s="76"/>
      <c r="O66" s="471" t="str">
        <f>IFERROR(VLOOKUP(K65,【参考】数式用!$A$5:$J$37,MATCH(N66,【参考】数式用!$B$4:$J$4,0)+1,0),"")</f>
        <v/>
      </c>
      <c r="P66" s="76"/>
      <c r="Q66" s="471" t="str">
        <f>IFERROR(VLOOKUP(K65,【参考】数式用!$A$5:$J$37,MATCH(P66,【参考】数式用!$B$4:$J$4,0)+1,0),"")</f>
        <v/>
      </c>
      <c r="R66" s="96" t="s">
        <v>15</v>
      </c>
      <c r="S66" s="472">
        <v>6</v>
      </c>
      <c r="T66" s="97" t="s">
        <v>10</v>
      </c>
      <c r="U66" s="58">
        <v>4</v>
      </c>
      <c r="V66" s="97" t="s">
        <v>38</v>
      </c>
      <c r="W66" s="472">
        <v>6</v>
      </c>
      <c r="X66" s="97" t="s">
        <v>10</v>
      </c>
      <c r="Y66" s="58">
        <v>5</v>
      </c>
      <c r="Z66" s="97" t="s">
        <v>13</v>
      </c>
      <c r="AA66" s="473" t="s">
        <v>20</v>
      </c>
      <c r="AB66" s="474">
        <f t="shared" si="112"/>
        <v>2</v>
      </c>
      <c r="AC66" s="97" t="s">
        <v>33</v>
      </c>
      <c r="AD66" s="475" t="str">
        <f t="shared" ref="AD66" si="174">IFERROR(ROUNDDOWN(ROUND(L65*Q66,0),0)*AB66,"")</f>
        <v/>
      </c>
      <c r="AE66" s="476" t="str">
        <f t="shared" si="54"/>
        <v/>
      </c>
      <c r="AF66" s="477"/>
      <c r="AG66" s="362"/>
      <c r="AH66" s="363"/>
      <c r="AI66" s="364"/>
      <c r="AJ66" s="365"/>
      <c r="AK66" s="366"/>
      <c r="AL66" s="367"/>
      <c r="AM66" s="478"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79"/>
      <c r="AO66" s="466" t="str">
        <f>IF(K65&lt;&gt;"","P列・R列に色付け","")</f>
        <v/>
      </c>
      <c r="AX66" s="452" t="str">
        <f>G65</f>
        <v/>
      </c>
    </row>
    <row r="67" spans="1:50" ht="32.1" customHeight="1" thickBot="1">
      <c r="A67" s="1268"/>
      <c r="B67" s="1205"/>
      <c r="C67" s="1205"/>
      <c r="D67" s="1205"/>
      <c r="E67" s="1205"/>
      <c r="F67" s="1205"/>
      <c r="G67" s="1208"/>
      <c r="H67" s="1208"/>
      <c r="I67" s="1208"/>
      <c r="J67" s="1208"/>
      <c r="K67" s="1208"/>
      <c r="L67" s="1211"/>
      <c r="M67" s="480" t="s">
        <v>114</v>
      </c>
      <c r="N67" s="79"/>
      <c r="O67" s="481" t="str">
        <f>IFERROR(VLOOKUP(K65,【参考】数式用!$A$5:$J$37,MATCH(N67,【参考】数式用!$B$4:$J$4,0)+1,0),"")</f>
        <v/>
      </c>
      <c r="P67" s="77"/>
      <c r="Q67" s="481" t="str">
        <f>IFERROR(VLOOKUP(K65,【参考】数式用!$A$5:$J$37,MATCH(P67,【参考】数式用!$B$4:$J$4,0)+1,0),"")</f>
        <v/>
      </c>
      <c r="R67" s="482" t="s">
        <v>15</v>
      </c>
      <c r="S67" s="483">
        <v>6</v>
      </c>
      <c r="T67" s="484" t="s">
        <v>10</v>
      </c>
      <c r="U67" s="59">
        <v>4</v>
      </c>
      <c r="V67" s="484" t="s">
        <v>38</v>
      </c>
      <c r="W67" s="483">
        <v>6</v>
      </c>
      <c r="X67" s="484" t="s">
        <v>10</v>
      </c>
      <c r="Y67" s="59">
        <v>5</v>
      </c>
      <c r="Z67" s="484" t="s">
        <v>13</v>
      </c>
      <c r="AA67" s="485" t="s">
        <v>20</v>
      </c>
      <c r="AB67" s="486">
        <f t="shared" si="112"/>
        <v>2</v>
      </c>
      <c r="AC67" s="484" t="s">
        <v>33</v>
      </c>
      <c r="AD67" s="487" t="str">
        <f t="shared" ref="AD67" si="176">IFERROR(ROUNDDOWN(ROUND(L65*Q67,0),0)*AB67,"")</f>
        <v/>
      </c>
      <c r="AE67" s="488" t="str">
        <f t="shared" si="57"/>
        <v/>
      </c>
      <c r="AF67" s="489">
        <f t="shared" si="141"/>
        <v>0</v>
      </c>
      <c r="AG67" s="368"/>
      <c r="AH67" s="369"/>
      <c r="AI67" s="370"/>
      <c r="AJ67" s="371"/>
      <c r="AK67" s="372"/>
      <c r="AL67" s="373"/>
      <c r="AM67" s="490"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1" t="str">
        <f>IF(K65&lt;&gt;"","P列・R列に色付け","")</f>
        <v/>
      </c>
      <c r="AP67" s="492"/>
      <c r="AQ67" s="492"/>
      <c r="AW67" s="493"/>
      <c r="AX67" s="452" t="str">
        <f>G65</f>
        <v/>
      </c>
    </row>
    <row r="68" spans="1:50" ht="32.1" customHeight="1">
      <c r="A68" s="1266">
        <v>19</v>
      </c>
      <c r="B68" s="1203" t="str">
        <f>IF(基本情報入力シート!C72="","",基本情報入力シート!C72)</f>
        <v/>
      </c>
      <c r="C68" s="1203"/>
      <c r="D68" s="1203"/>
      <c r="E68" s="1203"/>
      <c r="F68" s="1203"/>
      <c r="G68" s="1206" t="str">
        <f>IF(基本情報入力シート!M72="","",基本情報入力シート!M72)</f>
        <v/>
      </c>
      <c r="H68" s="1206" t="str">
        <f>IF(基本情報入力シート!R72="","",基本情報入力シート!R72)</f>
        <v/>
      </c>
      <c r="I68" s="1206" t="str">
        <f>IF(基本情報入力シート!W72="","",基本情報入力シート!W72)</f>
        <v/>
      </c>
      <c r="J68" s="1206" t="str">
        <f>IF(基本情報入力シート!X72="","",基本情報入力シート!X72)</f>
        <v/>
      </c>
      <c r="K68" s="1206" t="str">
        <f>IF(基本情報入力シート!Y72="","",基本情報入力シート!Y72)</f>
        <v/>
      </c>
      <c r="L68" s="1209" t="str">
        <f>IF(基本情報入力シート!AB72="","",基本情報入力シート!AB72)</f>
        <v/>
      </c>
      <c r="M68" s="456" t="s">
        <v>132</v>
      </c>
      <c r="N68" s="75"/>
      <c r="O68" s="457" t="str">
        <f>IFERROR(VLOOKUP(K68,【参考】数式用!$A$5:$J$37,MATCH(N68,【参考】数式用!$B$4:$J$4,0)+1,0),"")</f>
        <v/>
      </c>
      <c r="P68" s="75"/>
      <c r="Q68" s="457" t="str">
        <f>IFERROR(VLOOKUP(K68,【参考】数式用!$A$5:$J$37,MATCH(P68,【参考】数式用!$B$4:$J$4,0)+1,0),"")</f>
        <v/>
      </c>
      <c r="R68" s="458" t="s">
        <v>15</v>
      </c>
      <c r="S68" s="459">
        <v>6</v>
      </c>
      <c r="T68" s="125" t="s">
        <v>10</v>
      </c>
      <c r="U68" s="39">
        <v>4</v>
      </c>
      <c r="V68" s="125" t="s">
        <v>38</v>
      </c>
      <c r="W68" s="459">
        <v>6</v>
      </c>
      <c r="X68" s="125" t="s">
        <v>10</v>
      </c>
      <c r="Y68" s="39">
        <v>5</v>
      </c>
      <c r="Z68" s="125" t="s">
        <v>13</v>
      </c>
      <c r="AA68" s="460" t="s">
        <v>20</v>
      </c>
      <c r="AB68" s="461">
        <f t="shared" si="112"/>
        <v>2</v>
      </c>
      <c r="AC68" s="125" t="s">
        <v>33</v>
      </c>
      <c r="AD68" s="462" t="str">
        <f t="shared" ref="AD68" si="178">IFERROR(ROUNDDOWN(ROUND(L68*Q68,0),0)*AB68,"")</f>
        <v/>
      </c>
      <c r="AE68" s="463" t="str">
        <f t="shared" ref="AE68" si="179">IFERROR(ROUNDDOWN(ROUND(L68*(Q68-O68),0),0)*AB68,"")</f>
        <v/>
      </c>
      <c r="AF68" s="464"/>
      <c r="AG68" s="374"/>
      <c r="AH68" s="382"/>
      <c r="AI68" s="379"/>
      <c r="AJ68" s="380"/>
      <c r="AK68" s="360"/>
      <c r="AL68" s="361"/>
      <c r="AM68" s="465" t="str">
        <f t="shared" ref="AM68" si="180">IF(AO68="","",IF(Q68&lt;O68,"！加算の要件上は問題ありませんが、令和６年３月と比較して４・５月に加算率が下がる計画になっています。",""))</f>
        <v/>
      </c>
      <c r="AO68" s="466" t="str">
        <f>IF(K68&lt;&gt;"","P列・R列に色付け","")</f>
        <v/>
      </c>
      <c r="AP68" s="467" t="str">
        <f>IFERROR(VLOOKUP(K68,【参考】数式用!$AH$2:$AI$34,2,FALSE),"")</f>
        <v/>
      </c>
      <c r="AQ68" s="469" t="str">
        <f>P68&amp;P69&amp;P70</f>
        <v/>
      </c>
      <c r="AR68" s="467" t="str">
        <f t="shared" ref="AR68" si="181">IF(AF70&lt;&gt;0,IF(AG70="○","入力済","未入力"),"")</f>
        <v/>
      </c>
      <c r="AS68" s="468" t="str">
        <f>IF(OR(P68="処遇加算Ⅰ",P68="処遇加算Ⅱ"),IF(OR(AH68="○",AH68="令和６年度中に満たす"),"入力済","未入力"),"")</f>
        <v/>
      </c>
      <c r="AT68" s="469" t="str">
        <f>IF(P68="処遇加算Ⅲ",IF(AI68="○","入力済","未入力"),"")</f>
        <v/>
      </c>
      <c r="AU68" s="467" t="str">
        <f>IF(P68="処遇加算Ⅰ",IF(OR(AJ68="○",AJ68="令和６年度中に満たす"),"入力済","未入力"),"")</f>
        <v/>
      </c>
      <c r="AV68" s="467" t="str">
        <f t="shared" ref="AV68" si="182">IF(OR(P69="特定加算Ⅰ",P69="特定加算Ⅱ"),1,"")</f>
        <v/>
      </c>
      <c r="AW68" s="452" t="str">
        <f>IF(P69="特定加算Ⅰ",IF(AL69="","未入力","入力済"),"")</f>
        <v/>
      </c>
      <c r="AX68" s="452" t="str">
        <f>G68</f>
        <v/>
      </c>
    </row>
    <row r="69" spans="1:50" ht="32.1" customHeight="1">
      <c r="A69" s="1267"/>
      <c r="B69" s="1204"/>
      <c r="C69" s="1204"/>
      <c r="D69" s="1204"/>
      <c r="E69" s="1204"/>
      <c r="F69" s="1204"/>
      <c r="G69" s="1207"/>
      <c r="H69" s="1207"/>
      <c r="I69" s="1207"/>
      <c r="J69" s="1207"/>
      <c r="K69" s="1207"/>
      <c r="L69" s="1210"/>
      <c r="M69" s="470" t="s">
        <v>121</v>
      </c>
      <c r="N69" s="76"/>
      <c r="O69" s="471" t="str">
        <f>IFERROR(VLOOKUP(K68,【参考】数式用!$A$5:$J$37,MATCH(N69,【参考】数式用!$B$4:$J$4,0)+1,0),"")</f>
        <v/>
      </c>
      <c r="P69" s="76"/>
      <c r="Q69" s="471" t="str">
        <f>IFERROR(VLOOKUP(K68,【参考】数式用!$A$5:$J$37,MATCH(P69,【参考】数式用!$B$4:$J$4,0)+1,0),"")</f>
        <v/>
      </c>
      <c r="R69" s="96" t="s">
        <v>15</v>
      </c>
      <c r="S69" s="472">
        <v>6</v>
      </c>
      <c r="T69" s="97" t="s">
        <v>10</v>
      </c>
      <c r="U69" s="58">
        <v>4</v>
      </c>
      <c r="V69" s="97" t="s">
        <v>38</v>
      </c>
      <c r="W69" s="472">
        <v>6</v>
      </c>
      <c r="X69" s="97" t="s">
        <v>10</v>
      </c>
      <c r="Y69" s="58">
        <v>5</v>
      </c>
      <c r="Z69" s="97" t="s">
        <v>13</v>
      </c>
      <c r="AA69" s="473" t="s">
        <v>20</v>
      </c>
      <c r="AB69" s="474">
        <f t="shared" si="112"/>
        <v>2</v>
      </c>
      <c r="AC69" s="97" t="s">
        <v>33</v>
      </c>
      <c r="AD69" s="475" t="str">
        <f t="shared" ref="AD69" si="183">IFERROR(ROUNDDOWN(ROUND(L68*Q69,0),0)*AB69,"")</f>
        <v/>
      </c>
      <c r="AE69" s="476" t="str">
        <f t="shared" ref="AE69" si="184">IFERROR(ROUNDDOWN(ROUND(L68*(Q69-O69),0),0)*AB69,"")</f>
        <v/>
      </c>
      <c r="AF69" s="477"/>
      <c r="AG69" s="362"/>
      <c r="AH69" s="363"/>
      <c r="AI69" s="364"/>
      <c r="AJ69" s="365"/>
      <c r="AK69" s="366"/>
      <c r="AL69" s="367"/>
      <c r="AM69" s="478"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79"/>
      <c r="AO69" s="466" t="str">
        <f>IF(K68&lt;&gt;"","P列・R列に色付け","")</f>
        <v/>
      </c>
      <c r="AX69" s="452" t="str">
        <f>G68</f>
        <v/>
      </c>
    </row>
    <row r="70" spans="1:50" ht="32.1" customHeight="1" thickBot="1">
      <c r="A70" s="1268"/>
      <c r="B70" s="1205"/>
      <c r="C70" s="1205"/>
      <c r="D70" s="1205"/>
      <c r="E70" s="1205"/>
      <c r="F70" s="1205"/>
      <c r="G70" s="1208"/>
      <c r="H70" s="1208"/>
      <c r="I70" s="1208"/>
      <c r="J70" s="1208"/>
      <c r="K70" s="1208"/>
      <c r="L70" s="1211"/>
      <c r="M70" s="480" t="s">
        <v>114</v>
      </c>
      <c r="N70" s="79"/>
      <c r="O70" s="481" t="str">
        <f>IFERROR(VLOOKUP(K68,【参考】数式用!$A$5:$J$37,MATCH(N70,【参考】数式用!$B$4:$J$4,0)+1,0),"")</f>
        <v/>
      </c>
      <c r="P70" s="77"/>
      <c r="Q70" s="481" t="str">
        <f>IFERROR(VLOOKUP(K68,【参考】数式用!$A$5:$J$37,MATCH(P70,【参考】数式用!$B$4:$J$4,0)+1,0),"")</f>
        <v/>
      </c>
      <c r="R70" s="482" t="s">
        <v>15</v>
      </c>
      <c r="S70" s="483">
        <v>6</v>
      </c>
      <c r="T70" s="484" t="s">
        <v>10</v>
      </c>
      <c r="U70" s="59">
        <v>4</v>
      </c>
      <c r="V70" s="484" t="s">
        <v>38</v>
      </c>
      <c r="W70" s="483">
        <v>6</v>
      </c>
      <c r="X70" s="484" t="s">
        <v>10</v>
      </c>
      <c r="Y70" s="59">
        <v>5</v>
      </c>
      <c r="Z70" s="484" t="s">
        <v>13</v>
      </c>
      <c r="AA70" s="485" t="s">
        <v>20</v>
      </c>
      <c r="AB70" s="486">
        <f t="shared" si="112"/>
        <v>2</v>
      </c>
      <c r="AC70" s="484" t="s">
        <v>33</v>
      </c>
      <c r="AD70" s="487" t="str">
        <f t="shared" ref="AD70" si="186">IFERROR(ROUNDDOWN(ROUND(L68*Q70,0),0)*AB70,"")</f>
        <v/>
      </c>
      <c r="AE70" s="488" t="str">
        <f t="shared" ref="AE70" si="187">IFERROR(ROUNDDOWN(ROUND(L68*(Q70-O70),0),0)*AB70,"")</f>
        <v/>
      </c>
      <c r="AF70" s="489">
        <f t="shared" si="141"/>
        <v>0</v>
      </c>
      <c r="AG70" s="368"/>
      <c r="AH70" s="369"/>
      <c r="AI70" s="370"/>
      <c r="AJ70" s="371"/>
      <c r="AK70" s="372"/>
      <c r="AL70" s="373"/>
      <c r="AM70" s="490"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1" t="str">
        <f>IF(K68&lt;&gt;"","P列・R列に色付け","")</f>
        <v/>
      </c>
      <c r="AP70" s="492"/>
      <c r="AQ70" s="492"/>
      <c r="AW70" s="493"/>
      <c r="AX70" s="452" t="str">
        <f>G68</f>
        <v/>
      </c>
    </row>
    <row r="71" spans="1:50" ht="32.1" customHeight="1">
      <c r="A71" s="1266">
        <v>20</v>
      </c>
      <c r="B71" s="1203" t="str">
        <f>IF(基本情報入力シート!C73="","",基本情報入力シート!C73)</f>
        <v/>
      </c>
      <c r="C71" s="1203"/>
      <c r="D71" s="1203"/>
      <c r="E71" s="1203"/>
      <c r="F71" s="1203"/>
      <c r="G71" s="1206" t="str">
        <f>IF(基本情報入力シート!M73="","",基本情報入力シート!M73)</f>
        <v/>
      </c>
      <c r="H71" s="1206" t="str">
        <f>IF(基本情報入力シート!R73="","",基本情報入力シート!R73)</f>
        <v/>
      </c>
      <c r="I71" s="1206" t="str">
        <f>IF(基本情報入力シート!W73="","",基本情報入力シート!W73)</f>
        <v/>
      </c>
      <c r="J71" s="1206" t="str">
        <f>IF(基本情報入力シート!X73="","",基本情報入力シート!X73)</f>
        <v/>
      </c>
      <c r="K71" s="1206" t="str">
        <f>IF(基本情報入力シート!Y73="","",基本情報入力シート!Y73)</f>
        <v/>
      </c>
      <c r="L71" s="1209" t="str">
        <f>IF(基本情報入力シート!AB73="","",基本情報入力シート!AB73)</f>
        <v/>
      </c>
      <c r="M71" s="456" t="s">
        <v>132</v>
      </c>
      <c r="N71" s="75"/>
      <c r="O71" s="457" t="str">
        <f>IFERROR(VLOOKUP(K71,【参考】数式用!$A$5:$J$37,MATCH(N71,【参考】数式用!$B$4:$J$4,0)+1,0),"")</f>
        <v/>
      </c>
      <c r="P71" s="75"/>
      <c r="Q71" s="457" t="str">
        <f>IFERROR(VLOOKUP(K71,【参考】数式用!$A$5:$J$37,MATCH(P71,【参考】数式用!$B$4:$J$4,0)+1,0),"")</f>
        <v/>
      </c>
      <c r="R71" s="458" t="s">
        <v>15</v>
      </c>
      <c r="S71" s="459">
        <v>6</v>
      </c>
      <c r="T71" s="125" t="s">
        <v>10</v>
      </c>
      <c r="U71" s="39">
        <v>4</v>
      </c>
      <c r="V71" s="125" t="s">
        <v>38</v>
      </c>
      <c r="W71" s="459">
        <v>6</v>
      </c>
      <c r="X71" s="125" t="s">
        <v>10</v>
      </c>
      <c r="Y71" s="39">
        <v>5</v>
      </c>
      <c r="Z71" s="125" t="s">
        <v>13</v>
      </c>
      <c r="AA71" s="460" t="s">
        <v>20</v>
      </c>
      <c r="AB71" s="461">
        <f t="shared" si="112"/>
        <v>2</v>
      </c>
      <c r="AC71" s="125" t="s">
        <v>33</v>
      </c>
      <c r="AD71" s="462" t="str">
        <f t="shared" ref="AD71" si="189">IFERROR(ROUNDDOWN(ROUND(L71*Q71,0),0)*AB71,"")</f>
        <v/>
      </c>
      <c r="AE71" s="463" t="str">
        <f t="shared" si="37"/>
        <v/>
      </c>
      <c r="AF71" s="464"/>
      <c r="AG71" s="374"/>
      <c r="AH71" s="382"/>
      <c r="AI71" s="379"/>
      <c r="AJ71" s="380"/>
      <c r="AK71" s="360"/>
      <c r="AL71" s="361"/>
      <c r="AM71" s="465" t="str">
        <f t="shared" ref="AM71" si="190">IF(AO71="","",IF(Q71&lt;O71,"！加算の要件上は問題ありませんが、令和６年３月と比較して４・５月に加算率が下がる計画になっています。",""))</f>
        <v/>
      </c>
      <c r="AO71" s="466" t="str">
        <f>IF(K71&lt;&gt;"","P列・R列に色付け","")</f>
        <v/>
      </c>
      <c r="AP71" s="467" t="str">
        <f>IFERROR(VLOOKUP(K71,【参考】数式用!$AH$2:$AI$34,2,FALSE),"")</f>
        <v/>
      </c>
      <c r="AQ71" s="469" t="str">
        <f>P71&amp;P72&amp;P73</f>
        <v/>
      </c>
      <c r="AR71" s="467" t="str">
        <f t="shared" ref="AR71" si="191">IF(AF73&lt;&gt;0,IF(AG73="○","入力済","未入力"),"")</f>
        <v/>
      </c>
      <c r="AS71" s="468" t="str">
        <f>IF(OR(P71="処遇加算Ⅰ",P71="処遇加算Ⅱ"),IF(OR(AH71="○",AH71="令和６年度中に満たす"),"入力済","未入力"),"")</f>
        <v/>
      </c>
      <c r="AT71" s="469" t="str">
        <f>IF(P71="処遇加算Ⅲ",IF(AI71="○","入力済","未入力"),"")</f>
        <v/>
      </c>
      <c r="AU71" s="467" t="str">
        <f>IF(P71="処遇加算Ⅰ",IF(OR(AJ71="○",AJ71="令和６年度中に満たす"),"入力済","未入力"),"")</f>
        <v/>
      </c>
      <c r="AV71" s="467" t="str">
        <f t="shared" ref="AV71" si="192">IF(OR(P72="特定加算Ⅰ",P72="特定加算Ⅱ"),1,"")</f>
        <v/>
      </c>
      <c r="AW71" s="452" t="str">
        <f>IF(P72="特定加算Ⅰ",IF(AL72="","未入力","入力済"),"")</f>
        <v/>
      </c>
      <c r="AX71" s="452" t="str">
        <f>G71</f>
        <v/>
      </c>
    </row>
    <row r="72" spans="1:50" ht="32.1" customHeight="1">
      <c r="A72" s="1267"/>
      <c r="B72" s="1204"/>
      <c r="C72" s="1204"/>
      <c r="D72" s="1204"/>
      <c r="E72" s="1204"/>
      <c r="F72" s="1204"/>
      <c r="G72" s="1207"/>
      <c r="H72" s="1207"/>
      <c r="I72" s="1207"/>
      <c r="J72" s="1207"/>
      <c r="K72" s="1207"/>
      <c r="L72" s="1210"/>
      <c r="M72" s="470" t="s">
        <v>121</v>
      </c>
      <c r="N72" s="76"/>
      <c r="O72" s="471" t="str">
        <f>IFERROR(VLOOKUP(K71,【参考】数式用!$A$5:$J$37,MATCH(N72,【参考】数式用!$B$4:$J$4,0)+1,0),"")</f>
        <v/>
      </c>
      <c r="P72" s="76"/>
      <c r="Q72" s="471" t="str">
        <f>IFERROR(VLOOKUP(K71,【参考】数式用!$A$5:$J$37,MATCH(P72,【参考】数式用!$B$4:$J$4,0)+1,0),"")</f>
        <v/>
      </c>
      <c r="R72" s="96" t="s">
        <v>15</v>
      </c>
      <c r="S72" s="472">
        <v>6</v>
      </c>
      <c r="T72" s="97" t="s">
        <v>10</v>
      </c>
      <c r="U72" s="58">
        <v>4</v>
      </c>
      <c r="V72" s="97" t="s">
        <v>38</v>
      </c>
      <c r="W72" s="472">
        <v>6</v>
      </c>
      <c r="X72" s="97" t="s">
        <v>10</v>
      </c>
      <c r="Y72" s="58">
        <v>5</v>
      </c>
      <c r="Z72" s="97" t="s">
        <v>13</v>
      </c>
      <c r="AA72" s="473" t="s">
        <v>20</v>
      </c>
      <c r="AB72" s="474">
        <f t="shared" si="112"/>
        <v>2</v>
      </c>
      <c r="AC72" s="97" t="s">
        <v>33</v>
      </c>
      <c r="AD72" s="475" t="str">
        <f t="shared" ref="AD72" si="193">IFERROR(ROUNDDOWN(ROUND(L71*Q72,0),0)*AB72,"")</f>
        <v/>
      </c>
      <c r="AE72" s="476" t="str">
        <f t="shared" si="42"/>
        <v/>
      </c>
      <c r="AF72" s="477"/>
      <c r="AG72" s="362"/>
      <c r="AH72" s="363"/>
      <c r="AI72" s="364"/>
      <c r="AJ72" s="365"/>
      <c r="AK72" s="366"/>
      <c r="AL72" s="367"/>
      <c r="AM72" s="478"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79"/>
      <c r="AO72" s="466" t="str">
        <f>IF(K71&lt;&gt;"","P列・R列に色付け","")</f>
        <v/>
      </c>
      <c r="AX72" s="452" t="str">
        <f>G71</f>
        <v/>
      </c>
    </row>
    <row r="73" spans="1:50" ht="32.1" customHeight="1" thickBot="1">
      <c r="A73" s="1268"/>
      <c r="B73" s="1205"/>
      <c r="C73" s="1205"/>
      <c r="D73" s="1205"/>
      <c r="E73" s="1205"/>
      <c r="F73" s="1205"/>
      <c r="G73" s="1208"/>
      <c r="H73" s="1208"/>
      <c r="I73" s="1208"/>
      <c r="J73" s="1208"/>
      <c r="K73" s="1208"/>
      <c r="L73" s="1211"/>
      <c r="M73" s="480" t="s">
        <v>114</v>
      </c>
      <c r="N73" s="79"/>
      <c r="O73" s="481" t="str">
        <f>IFERROR(VLOOKUP(K71,【参考】数式用!$A$5:$J$37,MATCH(N73,【参考】数式用!$B$4:$J$4,0)+1,0),"")</f>
        <v/>
      </c>
      <c r="P73" s="77"/>
      <c r="Q73" s="481" t="str">
        <f>IFERROR(VLOOKUP(K71,【参考】数式用!$A$5:$J$37,MATCH(P73,【参考】数式用!$B$4:$J$4,0)+1,0),"")</f>
        <v/>
      </c>
      <c r="R73" s="482" t="s">
        <v>15</v>
      </c>
      <c r="S73" s="483">
        <v>6</v>
      </c>
      <c r="T73" s="484" t="s">
        <v>10</v>
      </c>
      <c r="U73" s="59">
        <v>4</v>
      </c>
      <c r="V73" s="484" t="s">
        <v>38</v>
      </c>
      <c r="W73" s="483">
        <v>6</v>
      </c>
      <c r="X73" s="484" t="s">
        <v>10</v>
      </c>
      <c r="Y73" s="59">
        <v>5</v>
      </c>
      <c r="Z73" s="484" t="s">
        <v>13</v>
      </c>
      <c r="AA73" s="485" t="s">
        <v>20</v>
      </c>
      <c r="AB73" s="486">
        <f t="shared" si="112"/>
        <v>2</v>
      </c>
      <c r="AC73" s="484" t="s">
        <v>33</v>
      </c>
      <c r="AD73" s="487" t="str">
        <f t="shared" ref="AD73" si="195">IFERROR(ROUNDDOWN(ROUND(L71*Q73,0),0)*AB73,"")</f>
        <v/>
      </c>
      <c r="AE73" s="488" t="str">
        <f t="shared" si="45"/>
        <v/>
      </c>
      <c r="AF73" s="489">
        <f t="shared" si="141"/>
        <v>0</v>
      </c>
      <c r="AG73" s="368"/>
      <c r="AH73" s="369"/>
      <c r="AI73" s="370"/>
      <c r="AJ73" s="371"/>
      <c r="AK73" s="372"/>
      <c r="AL73" s="373"/>
      <c r="AM73" s="490"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1" t="str">
        <f>IF(K71&lt;&gt;"","P列・R列に色付け","")</f>
        <v/>
      </c>
      <c r="AP73" s="492"/>
      <c r="AQ73" s="492"/>
      <c r="AW73" s="493"/>
      <c r="AX73" s="452" t="str">
        <f>G71</f>
        <v/>
      </c>
    </row>
    <row r="74" spans="1:50" ht="32.1" customHeight="1">
      <c r="A74" s="1266">
        <v>21</v>
      </c>
      <c r="B74" s="1203" t="str">
        <f>IF(基本情報入力シート!C74="","",基本情報入力シート!C74)</f>
        <v/>
      </c>
      <c r="C74" s="1203"/>
      <c r="D74" s="1203"/>
      <c r="E74" s="1203"/>
      <c r="F74" s="1203"/>
      <c r="G74" s="1206" t="str">
        <f>IF(基本情報入力シート!M74="","",基本情報入力シート!M74)</f>
        <v/>
      </c>
      <c r="H74" s="1206" t="str">
        <f>IF(基本情報入力シート!R74="","",基本情報入力シート!R74)</f>
        <v/>
      </c>
      <c r="I74" s="1206" t="str">
        <f>IF(基本情報入力シート!W74="","",基本情報入力シート!W74)</f>
        <v/>
      </c>
      <c r="J74" s="1206" t="str">
        <f>IF(基本情報入力シート!X74="","",基本情報入力シート!X74)</f>
        <v/>
      </c>
      <c r="K74" s="1206" t="str">
        <f>IF(基本情報入力シート!Y74="","",基本情報入力シート!Y74)</f>
        <v/>
      </c>
      <c r="L74" s="1209" t="str">
        <f>IF(基本情報入力シート!AB74="","",基本情報入力シート!AB74)</f>
        <v/>
      </c>
      <c r="M74" s="456" t="s">
        <v>132</v>
      </c>
      <c r="N74" s="75"/>
      <c r="O74" s="457" t="str">
        <f>IFERROR(VLOOKUP(K74,【参考】数式用!$A$5:$J$37,MATCH(N74,【参考】数式用!$B$4:$J$4,0)+1,0),"")</f>
        <v/>
      </c>
      <c r="P74" s="75"/>
      <c r="Q74" s="457" t="str">
        <f>IFERROR(VLOOKUP(K74,【参考】数式用!$A$5:$J$37,MATCH(P74,【参考】数式用!$B$4:$J$4,0)+1,0),"")</f>
        <v/>
      </c>
      <c r="R74" s="458" t="s">
        <v>15</v>
      </c>
      <c r="S74" s="459">
        <v>6</v>
      </c>
      <c r="T74" s="125" t="s">
        <v>10</v>
      </c>
      <c r="U74" s="39">
        <v>4</v>
      </c>
      <c r="V74" s="125" t="s">
        <v>38</v>
      </c>
      <c r="W74" s="459">
        <v>6</v>
      </c>
      <c r="X74" s="125" t="s">
        <v>10</v>
      </c>
      <c r="Y74" s="39">
        <v>5</v>
      </c>
      <c r="Z74" s="125" t="s">
        <v>13</v>
      </c>
      <c r="AA74" s="460" t="s">
        <v>20</v>
      </c>
      <c r="AB74" s="461">
        <f t="shared" si="112"/>
        <v>2</v>
      </c>
      <c r="AC74" s="125" t="s">
        <v>33</v>
      </c>
      <c r="AD74" s="462" t="str">
        <f t="shared" ref="AD74" si="197">IFERROR(ROUNDDOWN(ROUND(L74*Q74,0),0)*AB74,"")</f>
        <v/>
      </c>
      <c r="AE74" s="463" t="str">
        <f t="shared" si="49"/>
        <v/>
      </c>
      <c r="AF74" s="464"/>
      <c r="AG74" s="374"/>
      <c r="AH74" s="382"/>
      <c r="AI74" s="379"/>
      <c r="AJ74" s="380"/>
      <c r="AK74" s="360"/>
      <c r="AL74" s="361"/>
      <c r="AM74" s="465" t="str">
        <f t="shared" ref="AM74" si="198">IF(AO74="","",IF(Q74&lt;O74,"！加算の要件上は問題ありませんが、令和６年３月と比較して４・５月に加算率が下がる計画になっています。",""))</f>
        <v/>
      </c>
      <c r="AO74" s="466" t="str">
        <f>IF(K74&lt;&gt;"","P列・R列に色付け","")</f>
        <v/>
      </c>
      <c r="AP74" s="467" t="str">
        <f>IFERROR(VLOOKUP(K74,【参考】数式用!$AH$2:$AI$34,2,FALSE),"")</f>
        <v/>
      </c>
      <c r="AQ74" s="469" t="str">
        <f>P74&amp;P75&amp;P76</f>
        <v/>
      </c>
      <c r="AR74" s="467" t="str">
        <f t="shared" ref="AR74" si="199">IF(AF76&lt;&gt;0,IF(AG76="○","入力済","未入力"),"")</f>
        <v/>
      </c>
      <c r="AS74" s="468" t="str">
        <f>IF(OR(P74="処遇加算Ⅰ",P74="処遇加算Ⅱ"),IF(OR(AH74="○",AH74="令和６年度中に満たす"),"入力済","未入力"),"")</f>
        <v/>
      </c>
      <c r="AT74" s="469" t="str">
        <f>IF(P74="処遇加算Ⅲ",IF(AI74="○","入力済","未入力"),"")</f>
        <v/>
      </c>
      <c r="AU74" s="467" t="str">
        <f>IF(P74="処遇加算Ⅰ",IF(OR(AJ74="○",AJ74="令和６年度中に満たす"),"入力済","未入力"),"")</f>
        <v/>
      </c>
      <c r="AV74" s="467" t="str">
        <f t="shared" ref="AV74" si="200">IF(OR(P75="特定加算Ⅰ",P75="特定加算Ⅱ"),1,"")</f>
        <v/>
      </c>
      <c r="AW74" s="452" t="str">
        <f>IF(P75="特定加算Ⅰ",IF(AL75="","未入力","入力済"),"")</f>
        <v/>
      </c>
      <c r="AX74" s="452" t="str">
        <f>G74</f>
        <v/>
      </c>
    </row>
    <row r="75" spans="1:50" ht="32.1" customHeight="1">
      <c r="A75" s="1267"/>
      <c r="B75" s="1204"/>
      <c r="C75" s="1204"/>
      <c r="D75" s="1204"/>
      <c r="E75" s="1204"/>
      <c r="F75" s="1204"/>
      <c r="G75" s="1207"/>
      <c r="H75" s="1207"/>
      <c r="I75" s="1207"/>
      <c r="J75" s="1207"/>
      <c r="K75" s="1207"/>
      <c r="L75" s="1210"/>
      <c r="M75" s="470" t="s">
        <v>121</v>
      </c>
      <c r="N75" s="76"/>
      <c r="O75" s="471" t="str">
        <f>IFERROR(VLOOKUP(K74,【参考】数式用!$A$5:$J$37,MATCH(N75,【参考】数式用!$B$4:$J$4,0)+1,0),"")</f>
        <v/>
      </c>
      <c r="P75" s="76"/>
      <c r="Q75" s="471" t="str">
        <f>IFERROR(VLOOKUP(K74,【参考】数式用!$A$5:$J$37,MATCH(P75,【参考】数式用!$B$4:$J$4,0)+1,0),"")</f>
        <v/>
      </c>
      <c r="R75" s="96" t="s">
        <v>15</v>
      </c>
      <c r="S75" s="472">
        <v>6</v>
      </c>
      <c r="T75" s="97" t="s">
        <v>10</v>
      </c>
      <c r="U75" s="58">
        <v>4</v>
      </c>
      <c r="V75" s="97" t="s">
        <v>38</v>
      </c>
      <c r="W75" s="472">
        <v>6</v>
      </c>
      <c r="X75" s="97" t="s">
        <v>10</v>
      </c>
      <c r="Y75" s="58">
        <v>5</v>
      </c>
      <c r="Z75" s="97" t="s">
        <v>13</v>
      </c>
      <c r="AA75" s="473" t="s">
        <v>20</v>
      </c>
      <c r="AB75" s="474">
        <f t="shared" si="112"/>
        <v>2</v>
      </c>
      <c r="AC75" s="97" t="s">
        <v>33</v>
      </c>
      <c r="AD75" s="475" t="str">
        <f t="shared" ref="AD75" si="201">IFERROR(ROUNDDOWN(ROUND(L74*Q75,0),0)*AB75,"")</f>
        <v/>
      </c>
      <c r="AE75" s="476" t="str">
        <f t="shared" si="54"/>
        <v/>
      </c>
      <c r="AF75" s="477"/>
      <c r="AG75" s="362"/>
      <c r="AH75" s="363"/>
      <c r="AI75" s="364"/>
      <c r="AJ75" s="365"/>
      <c r="AK75" s="366"/>
      <c r="AL75" s="367"/>
      <c r="AM75" s="478"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79"/>
      <c r="AO75" s="466" t="str">
        <f>IF(K74&lt;&gt;"","P列・R列に色付け","")</f>
        <v/>
      </c>
      <c r="AX75" s="452" t="str">
        <f>G74</f>
        <v/>
      </c>
    </row>
    <row r="76" spans="1:50" ht="32.1" customHeight="1" thickBot="1">
      <c r="A76" s="1268"/>
      <c r="B76" s="1205"/>
      <c r="C76" s="1205"/>
      <c r="D76" s="1205"/>
      <c r="E76" s="1205"/>
      <c r="F76" s="1205"/>
      <c r="G76" s="1208"/>
      <c r="H76" s="1208"/>
      <c r="I76" s="1208"/>
      <c r="J76" s="1208"/>
      <c r="K76" s="1208"/>
      <c r="L76" s="1211"/>
      <c r="M76" s="480" t="s">
        <v>114</v>
      </c>
      <c r="N76" s="79"/>
      <c r="O76" s="481" t="str">
        <f>IFERROR(VLOOKUP(K74,【参考】数式用!$A$5:$J$37,MATCH(N76,【参考】数式用!$B$4:$J$4,0)+1,0),"")</f>
        <v/>
      </c>
      <c r="P76" s="77"/>
      <c r="Q76" s="481" t="str">
        <f>IFERROR(VLOOKUP(K74,【参考】数式用!$A$5:$J$37,MATCH(P76,【参考】数式用!$B$4:$J$4,0)+1,0),"")</f>
        <v/>
      </c>
      <c r="R76" s="482" t="s">
        <v>15</v>
      </c>
      <c r="S76" s="483">
        <v>6</v>
      </c>
      <c r="T76" s="484" t="s">
        <v>10</v>
      </c>
      <c r="U76" s="59">
        <v>4</v>
      </c>
      <c r="V76" s="484" t="s">
        <v>38</v>
      </c>
      <c r="W76" s="483">
        <v>6</v>
      </c>
      <c r="X76" s="484" t="s">
        <v>10</v>
      </c>
      <c r="Y76" s="59">
        <v>5</v>
      </c>
      <c r="Z76" s="484" t="s">
        <v>13</v>
      </c>
      <c r="AA76" s="485" t="s">
        <v>20</v>
      </c>
      <c r="AB76" s="486">
        <f t="shared" si="112"/>
        <v>2</v>
      </c>
      <c r="AC76" s="484" t="s">
        <v>33</v>
      </c>
      <c r="AD76" s="487" t="str">
        <f t="shared" ref="AD76" si="203">IFERROR(ROUNDDOWN(ROUND(L74*Q76,0),0)*AB76,"")</f>
        <v/>
      </c>
      <c r="AE76" s="488" t="str">
        <f t="shared" si="57"/>
        <v/>
      </c>
      <c r="AF76" s="489">
        <f t="shared" si="141"/>
        <v>0</v>
      </c>
      <c r="AG76" s="368"/>
      <c r="AH76" s="369"/>
      <c r="AI76" s="370"/>
      <c r="AJ76" s="371"/>
      <c r="AK76" s="372"/>
      <c r="AL76" s="373"/>
      <c r="AM76" s="490"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1" t="str">
        <f>IF(K74&lt;&gt;"","P列・R列に色付け","")</f>
        <v/>
      </c>
      <c r="AP76" s="492"/>
      <c r="AQ76" s="492"/>
      <c r="AW76" s="493"/>
      <c r="AX76" s="452" t="str">
        <f>G74</f>
        <v/>
      </c>
    </row>
    <row r="77" spans="1:50" ht="32.1" customHeight="1">
      <c r="A77" s="1266">
        <v>22</v>
      </c>
      <c r="B77" s="1203" t="str">
        <f>IF(基本情報入力シート!C75="","",基本情報入力シート!C75)</f>
        <v/>
      </c>
      <c r="C77" s="1203"/>
      <c r="D77" s="1203"/>
      <c r="E77" s="1203"/>
      <c r="F77" s="1203"/>
      <c r="G77" s="1206" t="str">
        <f>IF(基本情報入力シート!M75="","",基本情報入力シート!M75)</f>
        <v/>
      </c>
      <c r="H77" s="1206" t="str">
        <f>IF(基本情報入力シート!R75="","",基本情報入力シート!R75)</f>
        <v/>
      </c>
      <c r="I77" s="1206" t="str">
        <f>IF(基本情報入力シート!W75="","",基本情報入力シート!W75)</f>
        <v/>
      </c>
      <c r="J77" s="1206" t="str">
        <f>IF(基本情報入力シート!X75="","",基本情報入力シート!X75)</f>
        <v/>
      </c>
      <c r="K77" s="1206" t="str">
        <f>IF(基本情報入力シート!Y75="","",基本情報入力シート!Y75)</f>
        <v/>
      </c>
      <c r="L77" s="1209" t="str">
        <f>IF(基本情報入力シート!AB75="","",基本情報入力シート!AB75)</f>
        <v/>
      </c>
      <c r="M77" s="456" t="s">
        <v>132</v>
      </c>
      <c r="N77" s="75"/>
      <c r="O77" s="457" t="str">
        <f>IFERROR(VLOOKUP(K77,【参考】数式用!$A$5:$J$37,MATCH(N77,【参考】数式用!$B$4:$J$4,0)+1,0),"")</f>
        <v/>
      </c>
      <c r="P77" s="75"/>
      <c r="Q77" s="457" t="str">
        <f>IFERROR(VLOOKUP(K77,【参考】数式用!$A$5:$J$37,MATCH(P77,【参考】数式用!$B$4:$J$4,0)+1,0),"")</f>
        <v/>
      </c>
      <c r="R77" s="458" t="s">
        <v>15</v>
      </c>
      <c r="S77" s="459">
        <v>6</v>
      </c>
      <c r="T77" s="125" t="s">
        <v>10</v>
      </c>
      <c r="U77" s="39">
        <v>4</v>
      </c>
      <c r="V77" s="125" t="s">
        <v>38</v>
      </c>
      <c r="W77" s="459">
        <v>6</v>
      </c>
      <c r="X77" s="125" t="s">
        <v>10</v>
      </c>
      <c r="Y77" s="39">
        <v>5</v>
      </c>
      <c r="Z77" s="125" t="s">
        <v>13</v>
      </c>
      <c r="AA77" s="460" t="s">
        <v>20</v>
      </c>
      <c r="AB77" s="461">
        <f t="shared" si="112"/>
        <v>2</v>
      </c>
      <c r="AC77" s="125" t="s">
        <v>33</v>
      </c>
      <c r="AD77" s="462" t="str">
        <f t="shared" ref="AD77" si="205">IFERROR(ROUNDDOWN(ROUND(L77*Q77,0),0)*AB77,"")</f>
        <v/>
      </c>
      <c r="AE77" s="463" t="str">
        <f t="shared" ref="AE77" si="206">IFERROR(ROUNDDOWN(ROUND(L77*(Q77-O77),0),0)*AB77,"")</f>
        <v/>
      </c>
      <c r="AF77" s="464"/>
      <c r="AG77" s="374"/>
      <c r="AH77" s="382"/>
      <c r="AI77" s="379"/>
      <c r="AJ77" s="380"/>
      <c r="AK77" s="360"/>
      <c r="AL77" s="361"/>
      <c r="AM77" s="465" t="str">
        <f t="shared" ref="AM77" si="207">IF(AO77="","",IF(Q77&lt;O77,"！加算の要件上は問題ありませんが、令和６年３月と比較して４・５月に加算率が下がる計画になっています。",""))</f>
        <v/>
      </c>
      <c r="AO77" s="466" t="str">
        <f>IF(K77&lt;&gt;"","P列・R列に色付け","")</f>
        <v/>
      </c>
      <c r="AP77" s="467" t="str">
        <f>IFERROR(VLOOKUP(K77,【参考】数式用!$AH$2:$AI$34,2,FALSE),"")</f>
        <v/>
      </c>
      <c r="AQ77" s="469" t="str">
        <f>P77&amp;P78&amp;P79</f>
        <v/>
      </c>
      <c r="AR77" s="467" t="str">
        <f t="shared" ref="AR77" si="208">IF(AF79&lt;&gt;0,IF(AG79="○","入力済","未入力"),"")</f>
        <v/>
      </c>
      <c r="AS77" s="468" t="str">
        <f>IF(OR(P77="処遇加算Ⅰ",P77="処遇加算Ⅱ"),IF(OR(AH77="○",AH77="令和６年度中に満たす"),"入力済","未入力"),"")</f>
        <v/>
      </c>
      <c r="AT77" s="469" t="str">
        <f>IF(P77="処遇加算Ⅲ",IF(AI77="○","入力済","未入力"),"")</f>
        <v/>
      </c>
      <c r="AU77" s="467" t="str">
        <f>IF(P77="処遇加算Ⅰ",IF(OR(AJ77="○",AJ77="令和６年度中に満たす"),"入力済","未入力"),"")</f>
        <v/>
      </c>
      <c r="AV77" s="467" t="str">
        <f t="shared" ref="AV77" si="209">IF(OR(P78="特定加算Ⅰ",P78="特定加算Ⅱ"),1,"")</f>
        <v/>
      </c>
      <c r="AW77" s="452" t="str">
        <f>IF(P78="特定加算Ⅰ",IF(AL78="","未入力","入力済"),"")</f>
        <v/>
      </c>
      <c r="AX77" s="452" t="str">
        <f>G77</f>
        <v/>
      </c>
    </row>
    <row r="78" spans="1:50" ht="32.1" customHeight="1">
      <c r="A78" s="1267"/>
      <c r="B78" s="1204"/>
      <c r="C78" s="1204"/>
      <c r="D78" s="1204"/>
      <c r="E78" s="1204"/>
      <c r="F78" s="1204"/>
      <c r="G78" s="1207"/>
      <c r="H78" s="1207"/>
      <c r="I78" s="1207"/>
      <c r="J78" s="1207"/>
      <c r="K78" s="1207"/>
      <c r="L78" s="1210"/>
      <c r="M78" s="470" t="s">
        <v>121</v>
      </c>
      <c r="N78" s="76"/>
      <c r="O78" s="471" t="str">
        <f>IFERROR(VLOOKUP(K77,【参考】数式用!$A$5:$J$37,MATCH(N78,【参考】数式用!$B$4:$J$4,0)+1,0),"")</f>
        <v/>
      </c>
      <c r="P78" s="76"/>
      <c r="Q78" s="471" t="str">
        <f>IFERROR(VLOOKUP(K77,【参考】数式用!$A$5:$J$37,MATCH(P78,【参考】数式用!$B$4:$J$4,0)+1,0),"")</f>
        <v/>
      </c>
      <c r="R78" s="96" t="s">
        <v>15</v>
      </c>
      <c r="S78" s="472">
        <v>6</v>
      </c>
      <c r="T78" s="97" t="s">
        <v>10</v>
      </c>
      <c r="U78" s="58">
        <v>4</v>
      </c>
      <c r="V78" s="97" t="s">
        <v>38</v>
      </c>
      <c r="W78" s="472">
        <v>6</v>
      </c>
      <c r="X78" s="97" t="s">
        <v>10</v>
      </c>
      <c r="Y78" s="58">
        <v>5</v>
      </c>
      <c r="Z78" s="97" t="s">
        <v>13</v>
      </c>
      <c r="AA78" s="473" t="s">
        <v>20</v>
      </c>
      <c r="AB78" s="474">
        <f t="shared" si="112"/>
        <v>2</v>
      </c>
      <c r="AC78" s="97" t="s">
        <v>33</v>
      </c>
      <c r="AD78" s="475" t="str">
        <f t="shared" ref="AD78" si="210">IFERROR(ROUNDDOWN(ROUND(L77*Q78,0),0)*AB78,"")</f>
        <v/>
      </c>
      <c r="AE78" s="476" t="str">
        <f t="shared" ref="AE78" si="211">IFERROR(ROUNDDOWN(ROUND(L77*(Q78-O78),0),0)*AB78,"")</f>
        <v/>
      </c>
      <c r="AF78" s="477"/>
      <c r="AG78" s="362"/>
      <c r="AH78" s="363"/>
      <c r="AI78" s="364"/>
      <c r="AJ78" s="365"/>
      <c r="AK78" s="366"/>
      <c r="AL78" s="367"/>
      <c r="AM78" s="478"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79"/>
      <c r="AO78" s="466" t="str">
        <f>IF(K77&lt;&gt;"","P列・R列に色付け","")</f>
        <v/>
      </c>
      <c r="AX78" s="452" t="str">
        <f>G77</f>
        <v/>
      </c>
    </row>
    <row r="79" spans="1:50" ht="32.1" customHeight="1" thickBot="1">
      <c r="A79" s="1268"/>
      <c r="B79" s="1205"/>
      <c r="C79" s="1205"/>
      <c r="D79" s="1205"/>
      <c r="E79" s="1205"/>
      <c r="F79" s="1205"/>
      <c r="G79" s="1208"/>
      <c r="H79" s="1208"/>
      <c r="I79" s="1208"/>
      <c r="J79" s="1208"/>
      <c r="K79" s="1208"/>
      <c r="L79" s="1211"/>
      <c r="M79" s="480" t="s">
        <v>114</v>
      </c>
      <c r="N79" s="79"/>
      <c r="O79" s="481" t="str">
        <f>IFERROR(VLOOKUP(K77,【参考】数式用!$A$5:$J$37,MATCH(N79,【参考】数式用!$B$4:$J$4,0)+1,0),"")</f>
        <v/>
      </c>
      <c r="P79" s="77"/>
      <c r="Q79" s="481" t="str">
        <f>IFERROR(VLOOKUP(K77,【参考】数式用!$A$5:$J$37,MATCH(P79,【参考】数式用!$B$4:$J$4,0)+1,0),"")</f>
        <v/>
      </c>
      <c r="R79" s="482" t="s">
        <v>15</v>
      </c>
      <c r="S79" s="483">
        <v>6</v>
      </c>
      <c r="T79" s="484" t="s">
        <v>10</v>
      </c>
      <c r="U79" s="59">
        <v>4</v>
      </c>
      <c r="V79" s="484" t="s">
        <v>38</v>
      </c>
      <c r="W79" s="483">
        <v>6</v>
      </c>
      <c r="X79" s="484" t="s">
        <v>10</v>
      </c>
      <c r="Y79" s="59">
        <v>5</v>
      </c>
      <c r="Z79" s="484" t="s">
        <v>13</v>
      </c>
      <c r="AA79" s="485" t="s">
        <v>20</v>
      </c>
      <c r="AB79" s="486">
        <f t="shared" si="112"/>
        <v>2</v>
      </c>
      <c r="AC79" s="484" t="s">
        <v>33</v>
      </c>
      <c r="AD79" s="487" t="str">
        <f t="shared" ref="AD79" si="213">IFERROR(ROUNDDOWN(ROUND(L77*Q79,0),0)*AB79,"")</f>
        <v/>
      </c>
      <c r="AE79" s="488" t="str">
        <f t="shared" ref="AE79" si="214">IFERROR(ROUNDDOWN(ROUND(L77*(Q79-O79),0),0)*AB79,"")</f>
        <v/>
      </c>
      <c r="AF79" s="489">
        <f t="shared" si="141"/>
        <v>0</v>
      </c>
      <c r="AG79" s="368"/>
      <c r="AH79" s="369"/>
      <c r="AI79" s="370"/>
      <c r="AJ79" s="371"/>
      <c r="AK79" s="372"/>
      <c r="AL79" s="373"/>
      <c r="AM79" s="490"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1" t="str">
        <f>IF(K77&lt;&gt;"","P列・R列に色付け","")</f>
        <v/>
      </c>
      <c r="AP79" s="492"/>
      <c r="AQ79" s="492"/>
      <c r="AW79" s="493"/>
      <c r="AX79" s="452" t="str">
        <f>G77</f>
        <v/>
      </c>
    </row>
    <row r="80" spans="1:50" ht="32.1" customHeight="1">
      <c r="A80" s="1266">
        <v>23</v>
      </c>
      <c r="B80" s="1203" t="str">
        <f>IF(基本情報入力シート!C76="","",基本情報入力シート!C76)</f>
        <v/>
      </c>
      <c r="C80" s="1203"/>
      <c r="D80" s="1203"/>
      <c r="E80" s="1203"/>
      <c r="F80" s="1203"/>
      <c r="G80" s="1206" t="str">
        <f>IF(基本情報入力シート!M76="","",基本情報入力シート!M76)</f>
        <v/>
      </c>
      <c r="H80" s="1206" t="str">
        <f>IF(基本情報入力シート!R76="","",基本情報入力シート!R76)</f>
        <v/>
      </c>
      <c r="I80" s="1206" t="str">
        <f>IF(基本情報入力シート!W76="","",基本情報入力シート!W76)</f>
        <v/>
      </c>
      <c r="J80" s="1206" t="str">
        <f>IF(基本情報入力シート!X76="","",基本情報入力シート!X76)</f>
        <v/>
      </c>
      <c r="K80" s="1206" t="str">
        <f>IF(基本情報入力シート!Y76="","",基本情報入力シート!Y76)</f>
        <v/>
      </c>
      <c r="L80" s="1209" t="str">
        <f>IF(基本情報入力シート!AB76="","",基本情報入力シート!AB76)</f>
        <v/>
      </c>
      <c r="M80" s="456" t="s">
        <v>132</v>
      </c>
      <c r="N80" s="75"/>
      <c r="O80" s="457" t="str">
        <f>IFERROR(VLOOKUP(K80,【参考】数式用!$A$5:$J$37,MATCH(N80,【参考】数式用!$B$4:$J$4,0)+1,0),"")</f>
        <v/>
      </c>
      <c r="P80" s="75"/>
      <c r="Q80" s="457" t="str">
        <f>IFERROR(VLOOKUP(K80,【参考】数式用!$A$5:$J$37,MATCH(P80,【参考】数式用!$B$4:$J$4,0)+1,0),"")</f>
        <v/>
      </c>
      <c r="R80" s="458" t="s">
        <v>15</v>
      </c>
      <c r="S80" s="459">
        <v>6</v>
      </c>
      <c r="T80" s="125" t="s">
        <v>10</v>
      </c>
      <c r="U80" s="39">
        <v>4</v>
      </c>
      <c r="V80" s="125" t="s">
        <v>38</v>
      </c>
      <c r="W80" s="459">
        <v>6</v>
      </c>
      <c r="X80" s="125" t="s">
        <v>10</v>
      </c>
      <c r="Y80" s="39">
        <v>5</v>
      </c>
      <c r="Z80" s="125" t="s">
        <v>13</v>
      </c>
      <c r="AA80" s="460" t="s">
        <v>20</v>
      </c>
      <c r="AB80" s="461">
        <f t="shared" si="112"/>
        <v>2</v>
      </c>
      <c r="AC80" s="125" t="s">
        <v>33</v>
      </c>
      <c r="AD80" s="462" t="str">
        <f t="shared" ref="AD80" si="216">IFERROR(ROUNDDOWN(ROUND(L80*Q80,0),0)*AB80,"")</f>
        <v/>
      </c>
      <c r="AE80" s="463" t="str">
        <f t="shared" si="37"/>
        <v/>
      </c>
      <c r="AF80" s="464"/>
      <c r="AG80" s="374"/>
      <c r="AH80" s="382"/>
      <c r="AI80" s="379"/>
      <c r="AJ80" s="380"/>
      <c r="AK80" s="360"/>
      <c r="AL80" s="361"/>
      <c r="AM80" s="465" t="str">
        <f t="shared" ref="AM80" si="217">IF(AO80="","",IF(Q80&lt;O80,"！加算の要件上は問題ありませんが、令和６年３月と比較して４・５月に加算率が下がる計画になっています。",""))</f>
        <v/>
      </c>
      <c r="AO80" s="466" t="str">
        <f>IF(K80&lt;&gt;"","P列・R列に色付け","")</f>
        <v/>
      </c>
      <c r="AP80" s="467" t="str">
        <f>IFERROR(VLOOKUP(K80,【参考】数式用!$AH$2:$AI$34,2,FALSE),"")</f>
        <v/>
      </c>
      <c r="AQ80" s="469" t="str">
        <f>P80&amp;P81&amp;P82</f>
        <v/>
      </c>
      <c r="AR80" s="467" t="str">
        <f t="shared" ref="AR80" si="218">IF(AF82&lt;&gt;0,IF(AG82="○","入力済","未入力"),"")</f>
        <v/>
      </c>
      <c r="AS80" s="468" t="str">
        <f>IF(OR(P80="処遇加算Ⅰ",P80="処遇加算Ⅱ"),IF(OR(AH80="○",AH80="令和６年度中に満たす"),"入力済","未入力"),"")</f>
        <v/>
      </c>
      <c r="AT80" s="469" t="str">
        <f>IF(P80="処遇加算Ⅲ",IF(AI80="○","入力済","未入力"),"")</f>
        <v/>
      </c>
      <c r="AU80" s="467" t="str">
        <f>IF(P80="処遇加算Ⅰ",IF(OR(AJ80="○",AJ80="令和６年度中に満たす"),"入力済","未入力"),"")</f>
        <v/>
      </c>
      <c r="AV80" s="467" t="str">
        <f t="shared" ref="AV80" si="219">IF(OR(P81="特定加算Ⅰ",P81="特定加算Ⅱ"),1,"")</f>
        <v/>
      </c>
      <c r="AW80" s="452" t="str">
        <f>IF(P81="特定加算Ⅰ",IF(AL81="","未入力","入力済"),"")</f>
        <v/>
      </c>
      <c r="AX80" s="452" t="str">
        <f>G80</f>
        <v/>
      </c>
    </row>
    <row r="81" spans="1:50" ht="32.1" customHeight="1">
      <c r="A81" s="1267"/>
      <c r="B81" s="1204"/>
      <c r="C81" s="1204"/>
      <c r="D81" s="1204"/>
      <c r="E81" s="1204"/>
      <c r="F81" s="1204"/>
      <c r="G81" s="1207"/>
      <c r="H81" s="1207"/>
      <c r="I81" s="1207"/>
      <c r="J81" s="1207"/>
      <c r="K81" s="1207"/>
      <c r="L81" s="1210"/>
      <c r="M81" s="470" t="s">
        <v>121</v>
      </c>
      <c r="N81" s="76"/>
      <c r="O81" s="471" t="str">
        <f>IFERROR(VLOOKUP(K80,【参考】数式用!$A$5:$J$37,MATCH(N81,【参考】数式用!$B$4:$J$4,0)+1,0),"")</f>
        <v/>
      </c>
      <c r="P81" s="76"/>
      <c r="Q81" s="471" t="str">
        <f>IFERROR(VLOOKUP(K80,【参考】数式用!$A$5:$J$37,MATCH(P81,【参考】数式用!$B$4:$J$4,0)+1,0),"")</f>
        <v/>
      </c>
      <c r="R81" s="96" t="s">
        <v>15</v>
      </c>
      <c r="S81" s="472">
        <v>6</v>
      </c>
      <c r="T81" s="97" t="s">
        <v>10</v>
      </c>
      <c r="U81" s="58">
        <v>4</v>
      </c>
      <c r="V81" s="97" t="s">
        <v>38</v>
      </c>
      <c r="W81" s="472">
        <v>6</v>
      </c>
      <c r="X81" s="97" t="s">
        <v>10</v>
      </c>
      <c r="Y81" s="58">
        <v>5</v>
      </c>
      <c r="Z81" s="97" t="s">
        <v>13</v>
      </c>
      <c r="AA81" s="473" t="s">
        <v>20</v>
      </c>
      <c r="AB81" s="474">
        <f t="shared" si="112"/>
        <v>2</v>
      </c>
      <c r="AC81" s="97" t="s">
        <v>33</v>
      </c>
      <c r="AD81" s="475" t="str">
        <f t="shared" ref="AD81" si="220">IFERROR(ROUNDDOWN(ROUND(L80*Q81,0),0)*AB81,"")</f>
        <v/>
      </c>
      <c r="AE81" s="476" t="str">
        <f t="shared" si="42"/>
        <v/>
      </c>
      <c r="AF81" s="477"/>
      <c r="AG81" s="362"/>
      <c r="AH81" s="363"/>
      <c r="AI81" s="364"/>
      <c r="AJ81" s="365"/>
      <c r="AK81" s="366"/>
      <c r="AL81" s="367"/>
      <c r="AM81" s="478"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79"/>
      <c r="AO81" s="466" t="str">
        <f>IF(K80&lt;&gt;"","P列・R列に色付け","")</f>
        <v/>
      </c>
      <c r="AX81" s="452" t="str">
        <f>G80</f>
        <v/>
      </c>
    </row>
    <row r="82" spans="1:50" ht="32.1" customHeight="1" thickBot="1">
      <c r="A82" s="1268"/>
      <c r="B82" s="1205"/>
      <c r="C82" s="1205"/>
      <c r="D82" s="1205"/>
      <c r="E82" s="1205"/>
      <c r="F82" s="1205"/>
      <c r="G82" s="1208"/>
      <c r="H82" s="1208"/>
      <c r="I82" s="1208"/>
      <c r="J82" s="1208"/>
      <c r="K82" s="1208"/>
      <c r="L82" s="1211"/>
      <c r="M82" s="480" t="s">
        <v>114</v>
      </c>
      <c r="N82" s="79"/>
      <c r="O82" s="481" t="str">
        <f>IFERROR(VLOOKUP(K80,【参考】数式用!$A$5:$J$37,MATCH(N82,【参考】数式用!$B$4:$J$4,0)+1,0),"")</f>
        <v/>
      </c>
      <c r="P82" s="77"/>
      <c r="Q82" s="481" t="str">
        <f>IFERROR(VLOOKUP(K80,【参考】数式用!$A$5:$J$37,MATCH(P82,【参考】数式用!$B$4:$J$4,0)+1,0),"")</f>
        <v/>
      </c>
      <c r="R82" s="482" t="s">
        <v>15</v>
      </c>
      <c r="S82" s="483">
        <v>6</v>
      </c>
      <c r="T82" s="484" t="s">
        <v>10</v>
      </c>
      <c r="U82" s="59">
        <v>4</v>
      </c>
      <c r="V82" s="484" t="s">
        <v>38</v>
      </c>
      <c r="W82" s="483">
        <v>6</v>
      </c>
      <c r="X82" s="484" t="s">
        <v>10</v>
      </c>
      <c r="Y82" s="59">
        <v>5</v>
      </c>
      <c r="Z82" s="484" t="s">
        <v>13</v>
      </c>
      <c r="AA82" s="485" t="s">
        <v>20</v>
      </c>
      <c r="AB82" s="486">
        <f t="shared" si="112"/>
        <v>2</v>
      </c>
      <c r="AC82" s="484" t="s">
        <v>33</v>
      </c>
      <c r="AD82" s="487" t="str">
        <f t="shared" ref="AD82" si="222">IFERROR(ROUNDDOWN(ROUND(L80*Q82,0),0)*AB82,"")</f>
        <v/>
      </c>
      <c r="AE82" s="488" t="str">
        <f t="shared" si="45"/>
        <v/>
      </c>
      <c r="AF82" s="489">
        <f t="shared" si="141"/>
        <v>0</v>
      </c>
      <c r="AG82" s="368"/>
      <c r="AH82" s="369"/>
      <c r="AI82" s="370"/>
      <c r="AJ82" s="371"/>
      <c r="AK82" s="372"/>
      <c r="AL82" s="373"/>
      <c r="AM82" s="490"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1" t="str">
        <f>IF(K80&lt;&gt;"","P列・R列に色付け","")</f>
        <v/>
      </c>
      <c r="AP82" s="492"/>
      <c r="AQ82" s="492"/>
      <c r="AW82" s="493"/>
      <c r="AX82" s="452" t="str">
        <f>G80</f>
        <v/>
      </c>
    </row>
    <row r="83" spans="1:50" ht="32.1" customHeight="1">
      <c r="A83" s="1266">
        <v>24</v>
      </c>
      <c r="B83" s="1203" t="str">
        <f>IF(基本情報入力シート!C77="","",基本情報入力シート!C77)</f>
        <v/>
      </c>
      <c r="C83" s="1203"/>
      <c r="D83" s="1203"/>
      <c r="E83" s="1203"/>
      <c r="F83" s="1203"/>
      <c r="G83" s="1206" t="str">
        <f>IF(基本情報入力シート!M77="","",基本情報入力シート!M77)</f>
        <v/>
      </c>
      <c r="H83" s="1206" t="str">
        <f>IF(基本情報入力シート!R77="","",基本情報入力シート!R77)</f>
        <v/>
      </c>
      <c r="I83" s="1206" t="str">
        <f>IF(基本情報入力シート!W77="","",基本情報入力シート!W77)</f>
        <v/>
      </c>
      <c r="J83" s="1206" t="str">
        <f>IF(基本情報入力シート!X77="","",基本情報入力シート!X77)</f>
        <v/>
      </c>
      <c r="K83" s="1206" t="str">
        <f>IF(基本情報入力シート!Y77="","",基本情報入力シート!Y77)</f>
        <v/>
      </c>
      <c r="L83" s="1209" t="str">
        <f>IF(基本情報入力シート!AB77="","",基本情報入力シート!AB77)</f>
        <v/>
      </c>
      <c r="M83" s="456" t="s">
        <v>132</v>
      </c>
      <c r="N83" s="75"/>
      <c r="O83" s="457" t="str">
        <f>IFERROR(VLOOKUP(K83,【参考】数式用!$A$5:$J$37,MATCH(N83,【参考】数式用!$B$4:$J$4,0)+1,0),"")</f>
        <v/>
      </c>
      <c r="P83" s="75"/>
      <c r="Q83" s="457" t="str">
        <f>IFERROR(VLOOKUP(K83,【参考】数式用!$A$5:$J$37,MATCH(P83,【参考】数式用!$B$4:$J$4,0)+1,0),"")</f>
        <v/>
      </c>
      <c r="R83" s="458" t="s">
        <v>15</v>
      </c>
      <c r="S83" s="459">
        <v>6</v>
      </c>
      <c r="T83" s="125" t="s">
        <v>10</v>
      </c>
      <c r="U83" s="39">
        <v>4</v>
      </c>
      <c r="V83" s="125" t="s">
        <v>38</v>
      </c>
      <c r="W83" s="459">
        <v>6</v>
      </c>
      <c r="X83" s="125" t="s">
        <v>10</v>
      </c>
      <c r="Y83" s="39">
        <v>5</v>
      </c>
      <c r="Z83" s="125" t="s">
        <v>13</v>
      </c>
      <c r="AA83" s="460" t="s">
        <v>20</v>
      </c>
      <c r="AB83" s="461">
        <f t="shared" si="112"/>
        <v>2</v>
      </c>
      <c r="AC83" s="125" t="s">
        <v>33</v>
      </c>
      <c r="AD83" s="462" t="str">
        <f t="shared" ref="AD83" si="224">IFERROR(ROUNDDOWN(ROUND(L83*Q83,0),0)*AB83,"")</f>
        <v/>
      </c>
      <c r="AE83" s="463" t="str">
        <f t="shared" si="49"/>
        <v/>
      </c>
      <c r="AF83" s="464"/>
      <c r="AG83" s="374"/>
      <c r="AH83" s="382"/>
      <c r="AI83" s="379"/>
      <c r="AJ83" s="380"/>
      <c r="AK83" s="360"/>
      <c r="AL83" s="361"/>
      <c r="AM83" s="465" t="str">
        <f t="shared" ref="AM83" si="225">IF(AO83="","",IF(Q83&lt;O83,"！加算の要件上は問題ありませんが、令和６年３月と比較して４・５月に加算率が下がる計画になっています。",""))</f>
        <v/>
      </c>
      <c r="AO83" s="466" t="str">
        <f>IF(K83&lt;&gt;"","P列・R列に色付け","")</f>
        <v/>
      </c>
      <c r="AP83" s="467" t="str">
        <f>IFERROR(VLOOKUP(K83,【参考】数式用!$AH$2:$AI$34,2,FALSE),"")</f>
        <v/>
      </c>
      <c r="AQ83" s="469" t="str">
        <f>P83&amp;P84&amp;P85</f>
        <v/>
      </c>
      <c r="AR83" s="467" t="str">
        <f t="shared" ref="AR83" si="226">IF(AF85&lt;&gt;0,IF(AG85="○","入力済","未入力"),"")</f>
        <v/>
      </c>
      <c r="AS83" s="468" t="str">
        <f>IF(OR(P83="処遇加算Ⅰ",P83="処遇加算Ⅱ"),IF(OR(AH83="○",AH83="令和６年度中に満たす"),"入力済","未入力"),"")</f>
        <v/>
      </c>
      <c r="AT83" s="469" t="str">
        <f>IF(P83="処遇加算Ⅲ",IF(AI83="○","入力済","未入力"),"")</f>
        <v/>
      </c>
      <c r="AU83" s="467" t="str">
        <f>IF(P83="処遇加算Ⅰ",IF(OR(AJ83="○",AJ83="令和６年度中に満たす"),"入力済","未入力"),"")</f>
        <v/>
      </c>
      <c r="AV83" s="467" t="str">
        <f t="shared" ref="AV83" si="227">IF(OR(P84="特定加算Ⅰ",P84="特定加算Ⅱ"),1,"")</f>
        <v/>
      </c>
      <c r="AW83" s="452" t="str">
        <f>IF(P84="特定加算Ⅰ",IF(AL84="","未入力","入力済"),"")</f>
        <v/>
      </c>
      <c r="AX83" s="452" t="str">
        <f>G83</f>
        <v/>
      </c>
    </row>
    <row r="84" spans="1:50" ht="32.1" customHeight="1">
      <c r="A84" s="1267"/>
      <c r="B84" s="1204"/>
      <c r="C84" s="1204"/>
      <c r="D84" s="1204"/>
      <c r="E84" s="1204"/>
      <c r="F84" s="1204"/>
      <c r="G84" s="1207"/>
      <c r="H84" s="1207"/>
      <c r="I84" s="1207"/>
      <c r="J84" s="1207"/>
      <c r="K84" s="1207"/>
      <c r="L84" s="1210"/>
      <c r="M84" s="470" t="s">
        <v>121</v>
      </c>
      <c r="N84" s="76"/>
      <c r="O84" s="471" t="str">
        <f>IFERROR(VLOOKUP(K83,【参考】数式用!$A$5:$J$37,MATCH(N84,【参考】数式用!$B$4:$J$4,0)+1,0),"")</f>
        <v/>
      </c>
      <c r="P84" s="76"/>
      <c r="Q84" s="471" t="str">
        <f>IFERROR(VLOOKUP(K83,【参考】数式用!$A$5:$J$37,MATCH(P84,【参考】数式用!$B$4:$J$4,0)+1,0),"")</f>
        <v/>
      </c>
      <c r="R84" s="96" t="s">
        <v>15</v>
      </c>
      <c r="S84" s="472">
        <v>6</v>
      </c>
      <c r="T84" s="97" t="s">
        <v>10</v>
      </c>
      <c r="U84" s="58">
        <v>4</v>
      </c>
      <c r="V84" s="97" t="s">
        <v>38</v>
      </c>
      <c r="W84" s="472">
        <v>6</v>
      </c>
      <c r="X84" s="97" t="s">
        <v>10</v>
      </c>
      <c r="Y84" s="58">
        <v>5</v>
      </c>
      <c r="Z84" s="97" t="s">
        <v>13</v>
      </c>
      <c r="AA84" s="473" t="s">
        <v>20</v>
      </c>
      <c r="AB84" s="474">
        <f t="shared" si="112"/>
        <v>2</v>
      </c>
      <c r="AC84" s="97" t="s">
        <v>33</v>
      </c>
      <c r="AD84" s="475" t="str">
        <f t="shared" ref="AD84" si="228">IFERROR(ROUNDDOWN(ROUND(L83*Q84,0),0)*AB84,"")</f>
        <v/>
      </c>
      <c r="AE84" s="476" t="str">
        <f t="shared" si="54"/>
        <v/>
      </c>
      <c r="AF84" s="477"/>
      <c r="AG84" s="362"/>
      <c r="AH84" s="363"/>
      <c r="AI84" s="364"/>
      <c r="AJ84" s="365"/>
      <c r="AK84" s="366"/>
      <c r="AL84" s="367"/>
      <c r="AM84" s="478"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79"/>
      <c r="AO84" s="466" t="str">
        <f>IF(K83&lt;&gt;"","P列・R列に色付け","")</f>
        <v/>
      </c>
      <c r="AX84" s="452" t="str">
        <f>G83</f>
        <v/>
      </c>
    </row>
    <row r="85" spans="1:50" ht="32.1" customHeight="1" thickBot="1">
      <c r="A85" s="1268"/>
      <c r="B85" s="1205"/>
      <c r="C85" s="1205"/>
      <c r="D85" s="1205"/>
      <c r="E85" s="1205"/>
      <c r="F85" s="1205"/>
      <c r="G85" s="1208"/>
      <c r="H85" s="1208"/>
      <c r="I85" s="1208"/>
      <c r="J85" s="1208"/>
      <c r="K85" s="1208"/>
      <c r="L85" s="1211"/>
      <c r="M85" s="480" t="s">
        <v>114</v>
      </c>
      <c r="N85" s="79"/>
      <c r="O85" s="481" t="str">
        <f>IFERROR(VLOOKUP(K83,【参考】数式用!$A$5:$J$37,MATCH(N85,【参考】数式用!$B$4:$J$4,0)+1,0),"")</f>
        <v/>
      </c>
      <c r="P85" s="77"/>
      <c r="Q85" s="481" t="str">
        <f>IFERROR(VLOOKUP(K83,【参考】数式用!$A$5:$J$37,MATCH(P85,【参考】数式用!$B$4:$J$4,0)+1,0),"")</f>
        <v/>
      </c>
      <c r="R85" s="482" t="s">
        <v>15</v>
      </c>
      <c r="S85" s="483">
        <v>6</v>
      </c>
      <c r="T85" s="484" t="s">
        <v>10</v>
      </c>
      <c r="U85" s="59">
        <v>4</v>
      </c>
      <c r="V85" s="484" t="s">
        <v>38</v>
      </c>
      <c r="W85" s="483">
        <v>6</v>
      </c>
      <c r="X85" s="484" t="s">
        <v>10</v>
      </c>
      <c r="Y85" s="59">
        <v>5</v>
      </c>
      <c r="Z85" s="484" t="s">
        <v>13</v>
      </c>
      <c r="AA85" s="485" t="s">
        <v>20</v>
      </c>
      <c r="AB85" s="486">
        <f t="shared" si="112"/>
        <v>2</v>
      </c>
      <c r="AC85" s="484" t="s">
        <v>33</v>
      </c>
      <c r="AD85" s="487" t="str">
        <f t="shared" ref="AD85" si="230">IFERROR(ROUNDDOWN(ROUND(L83*Q85,0),0)*AB85,"")</f>
        <v/>
      </c>
      <c r="AE85" s="488" t="str">
        <f t="shared" si="57"/>
        <v/>
      </c>
      <c r="AF85" s="489">
        <f t="shared" si="141"/>
        <v>0</v>
      </c>
      <c r="AG85" s="368"/>
      <c r="AH85" s="369"/>
      <c r="AI85" s="370"/>
      <c r="AJ85" s="371"/>
      <c r="AK85" s="372"/>
      <c r="AL85" s="373"/>
      <c r="AM85" s="490"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1" t="str">
        <f>IF(K83&lt;&gt;"","P列・R列に色付け","")</f>
        <v/>
      </c>
      <c r="AP85" s="492"/>
      <c r="AQ85" s="492"/>
      <c r="AW85" s="493"/>
      <c r="AX85" s="452" t="str">
        <f>G83</f>
        <v/>
      </c>
    </row>
    <row r="86" spans="1:50" ht="32.1" customHeight="1">
      <c r="A86" s="1266">
        <v>25</v>
      </c>
      <c r="B86" s="1203" t="str">
        <f>IF(基本情報入力シート!C78="","",基本情報入力シート!C78)</f>
        <v/>
      </c>
      <c r="C86" s="1203"/>
      <c r="D86" s="1203"/>
      <c r="E86" s="1203"/>
      <c r="F86" s="1203"/>
      <c r="G86" s="1206" t="str">
        <f>IF(基本情報入力シート!M78="","",基本情報入力シート!M78)</f>
        <v/>
      </c>
      <c r="H86" s="1206" t="str">
        <f>IF(基本情報入力シート!R78="","",基本情報入力シート!R78)</f>
        <v/>
      </c>
      <c r="I86" s="1206" t="str">
        <f>IF(基本情報入力シート!W78="","",基本情報入力シート!W78)</f>
        <v/>
      </c>
      <c r="J86" s="1206" t="str">
        <f>IF(基本情報入力シート!X78="","",基本情報入力シート!X78)</f>
        <v/>
      </c>
      <c r="K86" s="1206" t="str">
        <f>IF(基本情報入力シート!Y78="","",基本情報入力シート!Y78)</f>
        <v/>
      </c>
      <c r="L86" s="1209" t="str">
        <f>IF(基本情報入力シート!AB78="","",基本情報入力シート!AB78)</f>
        <v/>
      </c>
      <c r="M86" s="456" t="s">
        <v>132</v>
      </c>
      <c r="N86" s="75"/>
      <c r="O86" s="457" t="str">
        <f>IFERROR(VLOOKUP(K86,【参考】数式用!$A$5:$J$37,MATCH(N86,【参考】数式用!$B$4:$J$4,0)+1,0),"")</f>
        <v/>
      </c>
      <c r="P86" s="75"/>
      <c r="Q86" s="457" t="str">
        <f>IFERROR(VLOOKUP(K86,【参考】数式用!$A$5:$J$37,MATCH(P86,【参考】数式用!$B$4:$J$4,0)+1,0),"")</f>
        <v/>
      </c>
      <c r="R86" s="458" t="s">
        <v>15</v>
      </c>
      <c r="S86" s="459">
        <v>6</v>
      </c>
      <c r="T86" s="125" t="s">
        <v>10</v>
      </c>
      <c r="U86" s="39">
        <v>4</v>
      </c>
      <c r="V86" s="125" t="s">
        <v>38</v>
      </c>
      <c r="W86" s="459">
        <v>6</v>
      </c>
      <c r="X86" s="125" t="s">
        <v>10</v>
      </c>
      <c r="Y86" s="39">
        <v>5</v>
      </c>
      <c r="Z86" s="125" t="s">
        <v>13</v>
      </c>
      <c r="AA86" s="460" t="s">
        <v>20</v>
      </c>
      <c r="AB86" s="461">
        <f t="shared" si="112"/>
        <v>2</v>
      </c>
      <c r="AC86" s="125" t="s">
        <v>33</v>
      </c>
      <c r="AD86" s="462" t="str">
        <f t="shared" ref="AD86" si="232">IFERROR(ROUNDDOWN(ROUND(L86*Q86,0),0)*AB86,"")</f>
        <v/>
      </c>
      <c r="AE86" s="463" t="str">
        <f t="shared" ref="AE86" si="233">IFERROR(ROUNDDOWN(ROUND(L86*(Q86-O86),0),0)*AB86,"")</f>
        <v/>
      </c>
      <c r="AF86" s="464"/>
      <c r="AG86" s="374"/>
      <c r="AH86" s="382"/>
      <c r="AI86" s="379"/>
      <c r="AJ86" s="380"/>
      <c r="AK86" s="360"/>
      <c r="AL86" s="361"/>
      <c r="AM86" s="465" t="str">
        <f t="shared" ref="AM86" si="234">IF(AO86="","",IF(Q86&lt;O86,"！加算の要件上は問題ありませんが、令和６年３月と比較して４・５月に加算率が下がる計画になっています。",""))</f>
        <v/>
      </c>
      <c r="AO86" s="466" t="str">
        <f>IF(K86&lt;&gt;"","P列・R列に色付け","")</f>
        <v/>
      </c>
      <c r="AP86" s="467" t="str">
        <f>IFERROR(VLOOKUP(K86,【参考】数式用!$AH$2:$AI$34,2,FALSE),"")</f>
        <v/>
      </c>
      <c r="AQ86" s="469" t="str">
        <f>P86&amp;P87&amp;P88</f>
        <v/>
      </c>
      <c r="AR86" s="467" t="str">
        <f t="shared" ref="AR86" si="235">IF(AF88&lt;&gt;0,IF(AG88="○","入力済","未入力"),"")</f>
        <v/>
      </c>
      <c r="AS86" s="468" t="str">
        <f>IF(OR(P86="処遇加算Ⅰ",P86="処遇加算Ⅱ"),IF(OR(AH86="○",AH86="令和６年度中に満たす"),"入力済","未入力"),"")</f>
        <v/>
      </c>
      <c r="AT86" s="469" t="str">
        <f>IF(P86="処遇加算Ⅲ",IF(AI86="○","入力済","未入力"),"")</f>
        <v/>
      </c>
      <c r="AU86" s="467" t="str">
        <f>IF(P86="処遇加算Ⅰ",IF(OR(AJ86="○",AJ86="令和６年度中に満たす"),"入力済","未入力"),"")</f>
        <v/>
      </c>
      <c r="AV86" s="467" t="str">
        <f t="shared" ref="AV86" si="236">IF(OR(P87="特定加算Ⅰ",P87="特定加算Ⅱ"),1,"")</f>
        <v/>
      </c>
      <c r="AW86" s="452" t="str">
        <f>IF(P87="特定加算Ⅰ",IF(AL87="","未入力","入力済"),"")</f>
        <v/>
      </c>
      <c r="AX86" s="452" t="str">
        <f>G86</f>
        <v/>
      </c>
    </row>
    <row r="87" spans="1:50" ht="32.1" customHeight="1">
      <c r="A87" s="1267"/>
      <c r="B87" s="1204"/>
      <c r="C87" s="1204"/>
      <c r="D87" s="1204"/>
      <c r="E87" s="1204"/>
      <c r="F87" s="1204"/>
      <c r="G87" s="1207"/>
      <c r="H87" s="1207"/>
      <c r="I87" s="1207"/>
      <c r="J87" s="1207"/>
      <c r="K87" s="1207"/>
      <c r="L87" s="1210"/>
      <c r="M87" s="470" t="s">
        <v>121</v>
      </c>
      <c r="N87" s="76"/>
      <c r="O87" s="471" t="str">
        <f>IFERROR(VLOOKUP(K86,【参考】数式用!$A$5:$J$37,MATCH(N87,【参考】数式用!$B$4:$J$4,0)+1,0),"")</f>
        <v/>
      </c>
      <c r="P87" s="76"/>
      <c r="Q87" s="471" t="str">
        <f>IFERROR(VLOOKUP(K86,【参考】数式用!$A$5:$J$37,MATCH(P87,【参考】数式用!$B$4:$J$4,0)+1,0),"")</f>
        <v/>
      </c>
      <c r="R87" s="96" t="s">
        <v>15</v>
      </c>
      <c r="S87" s="472">
        <v>6</v>
      </c>
      <c r="T87" s="97" t="s">
        <v>10</v>
      </c>
      <c r="U87" s="58">
        <v>4</v>
      </c>
      <c r="V87" s="97" t="s">
        <v>38</v>
      </c>
      <c r="W87" s="472">
        <v>6</v>
      </c>
      <c r="X87" s="97" t="s">
        <v>10</v>
      </c>
      <c r="Y87" s="58">
        <v>5</v>
      </c>
      <c r="Z87" s="97" t="s">
        <v>13</v>
      </c>
      <c r="AA87" s="473" t="s">
        <v>20</v>
      </c>
      <c r="AB87" s="474">
        <f t="shared" si="112"/>
        <v>2</v>
      </c>
      <c r="AC87" s="97" t="s">
        <v>33</v>
      </c>
      <c r="AD87" s="475" t="str">
        <f t="shared" ref="AD87" si="237">IFERROR(ROUNDDOWN(ROUND(L86*Q87,0),0)*AB87,"")</f>
        <v/>
      </c>
      <c r="AE87" s="476" t="str">
        <f t="shared" ref="AE87" si="238">IFERROR(ROUNDDOWN(ROUND(L86*(Q87-O87),0),0)*AB87,"")</f>
        <v/>
      </c>
      <c r="AF87" s="477"/>
      <c r="AG87" s="362"/>
      <c r="AH87" s="363"/>
      <c r="AI87" s="364"/>
      <c r="AJ87" s="365"/>
      <c r="AK87" s="366"/>
      <c r="AL87" s="367"/>
      <c r="AM87" s="478"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79"/>
      <c r="AO87" s="466" t="str">
        <f>IF(K86&lt;&gt;"","P列・R列に色付け","")</f>
        <v/>
      </c>
      <c r="AX87" s="452" t="str">
        <f>G86</f>
        <v/>
      </c>
    </row>
    <row r="88" spans="1:50" ht="32.1" customHeight="1" thickBot="1">
      <c r="A88" s="1268"/>
      <c r="B88" s="1205"/>
      <c r="C88" s="1205"/>
      <c r="D88" s="1205"/>
      <c r="E88" s="1205"/>
      <c r="F88" s="1205"/>
      <c r="G88" s="1208"/>
      <c r="H88" s="1208"/>
      <c r="I88" s="1208"/>
      <c r="J88" s="1208"/>
      <c r="K88" s="1208"/>
      <c r="L88" s="1211"/>
      <c r="M88" s="480" t="s">
        <v>114</v>
      </c>
      <c r="N88" s="79"/>
      <c r="O88" s="481" t="str">
        <f>IFERROR(VLOOKUP(K86,【参考】数式用!$A$5:$J$37,MATCH(N88,【参考】数式用!$B$4:$J$4,0)+1,0),"")</f>
        <v/>
      </c>
      <c r="P88" s="77"/>
      <c r="Q88" s="481" t="str">
        <f>IFERROR(VLOOKUP(K86,【参考】数式用!$A$5:$J$37,MATCH(P88,【参考】数式用!$B$4:$J$4,0)+1,0),"")</f>
        <v/>
      </c>
      <c r="R88" s="482" t="s">
        <v>15</v>
      </c>
      <c r="S88" s="483">
        <v>6</v>
      </c>
      <c r="T88" s="484" t="s">
        <v>10</v>
      </c>
      <c r="U88" s="59">
        <v>4</v>
      </c>
      <c r="V88" s="484" t="s">
        <v>38</v>
      </c>
      <c r="W88" s="483">
        <v>6</v>
      </c>
      <c r="X88" s="484" t="s">
        <v>10</v>
      </c>
      <c r="Y88" s="59">
        <v>5</v>
      </c>
      <c r="Z88" s="484" t="s">
        <v>13</v>
      </c>
      <c r="AA88" s="485" t="s">
        <v>20</v>
      </c>
      <c r="AB88" s="486">
        <f t="shared" si="112"/>
        <v>2</v>
      </c>
      <c r="AC88" s="484" t="s">
        <v>33</v>
      </c>
      <c r="AD88" s="487" t="str">
        <f t="shared" ref="AD88" si="240">IFERROR(ROUNDDOWN(ROUND(L86*Q88,0),0)*AB88,"")</f>
        <v/>
      </c>
      <c r="AE88" s="488" t="str">
        <f t="shared" ref="AE88" si="241">IFERROR(ROUNDDOWN(ROUND(L86*(Q88-O88),0),0)*AB88,"")</f>
        <v/>
      </c>
      <c r="AF88" s="489">
        <f t="shared" si="141"/>
        <v>0</v>
      </c>
      <c r="AG88" s="368"/>
      <c r="AH88" s="369"/>
      <c r="AI88" s="370"/>
      <c r="AJ88" s="371"/>
      <c r="AK88" s="372"/>
      <c r="AL88" s="373"/>
      <c r="AM88" s="490"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1" t="str">
        <f>IF(K86&lt;&gt;"","P列・R列に色付け","")</f>
        <v/>
      </c>
      <c r="AP88" s="492"/>
      <c r="AQ88" s="492"/>
      <c r="AW88" s="493"/>
      <c r="AX88" s="452" t="str">
        <f>G86</f>
        <v/>
      </c>
    </row>
    <row r="89" spans="1:50" ht="32.1" customHeight="1">
      <c r="A89" s="1266">
        <v>26</v>
      </c>
      <c r="B89" s="1203" t="str">
        <f>IF(基本情報入力シート!C79="","",基本情報入力シート!C79)</f>
        <v/>
      </c>
      <c r="C89" s="1203"/>
      <c r="D89" s="1203"/>
      <c r="E89" s="1203"/>
      <c r="F89" s="1203"/>
      <c r="G89" s="1206" t="str">
        <f>IF(基本情報入力シート!M79="","",基本情報入力シート!M79)</f>
        <v/>
      </c>
      <c r="H89" s="1206" t="str">
        <f>IF(基本情報入力シート!R79="","",基本情報入力シート!R79)</f>
        <v/>
      </c>
      <c r="I89" s="1206" t="str">
        <f>IF(基本情報入力シート!W79="","",基本情報入力シート!W79)</f>
        <v/>
      </c>
      <c r="J89" s="1206" t="str">
        <f>IF(基本情報入力シート!X79="","",基本情報入力シート!X79)</f>
        <v/>
      </c>
      <c r="K89" s="1206" t="str">
        <f>IF(基本情報入力シート!Y79="","",基本情報入力シート!Y79)</f>
        <v/>
      </c>
      <c r="L89" s="1209" t="str">
        <f>IF(基本情報入力シート!AB79="","",基本情報入力シート!AB79)</f>
        <v/>
      </c>
      <c r="M89" s="456" t="s">
        <v>132</v>
      </c>
      <c r="N89" s="75"/>
      <c r="O89" s="457" t="str">
        <f>IFERROR(VLOOKUP(K89,【参考】数式用!$A$5:$J$37,MATCH(N89,【参考】数式用!$B$4:$J$4,0)+1,0),"")</f>
        <v/>
      </c>
      <c r="P89" s="75"/>
      <c r="Q89" s="457" t="str">
        <f>IFERROR(VLOOKUP(K89,【参考】数式用!$A$5:$J$37,MATCH(P89,【参考】数式用!$B$4:$J$4,0)+1,0),"")</f>
        <v/>
      </c>
      <c r="R89" s="458" t="s">
        <v>15</v>
      </c>
      <c r="S89" s="459">
        <v>6</v>
      </c>
      <c r="T89" s="125" t="s">
        <v>10</v>
      </c>
      <c r="U89" s="39">
        <v>4</v>
      </c>
      <c r="V89" s="125" t="s">
        <v>38</v>
      </c>
      <c r="W89" s="459">
        <v>6</v>
      </c>
      <c r="X89" s="125" t="s">
        <v>10</v>
      </c>
      <c r="Y89" s="39">
        <v>5</v>
      </c>
      <c r="Z89" s="125" t="s">
        <v>13</v>
      </c>
      <c r="AA89" s="460" t="s">
        <v>20</v>
      </c>
      <c r="AB89" s="461">
        <f t="shared" si="112"/>
        <v>2</v>
      </c>
      <c r="AC89" s="125" t="s">
        <v>33</v>
      </c>
      <c r="AD89" s="462" t="str">
        <f t="shared" ref="AD89" si="243">IFERROR(ROUNDDOWN(ROUND(L89*Q89,0),0)*AB89,"")</f>
        <v/>
      </c>
      <c r="AE89" s="463" t="str">
        <f t="shared" si="37"/>
        <v/>
      </c>
      <c r="AF89" s="464"/>
      <c r="AG89" s="374"/>
      <c r="AH89" s="382"/>
      <c r="AI89" s="379"/>
      <c r="AJ89" s="380"/>
      <c r="AK89" s="360"/>
      <c r="AL89" s="361"/>
      <c r="AM89" s="465" t="str">
        <f t="shared" ref="AM89" si="244">IF(AO89="","",IF(Q89&lt;O89,"！加算の要件上は問題ありませんが、令和６年３月と比較して４・５月に加算率が下がる計画になっています。",""))</f>
        <v/>
      </c>
      <c r="AO89" s="466" t="str">
        <f>IF(K89&lt;&gt;"","P列・R列に色付け","")</f>
        <v/>
      </c>
      <c r="AP89" s="467" t="str">
        <f>IFERROR(VLOOKUP(K89,【参考】数式用!$AH$2:$AI$34,2,FALSE),"")</f>
        <v/>
      </c>
      <c r="AQ89" s="469" t="str">
        <f>P89&amp;P90&amp;P91</f>
        <v/>
      </c>
      <c r="AR89" s="467" t="str">
        <f t="shared" ref="AR89" si="245">IF(AF91&lt;&gt;0,IF(AG91="○","入力済","未入力"),"")</f>
        <v/>
      </c>
      <c r="AS89" s="468" t="str">
        <f>IF(OR(P89="処遇加算Ⅰ",P89="処遇加算Ⅱ"),IF(OR(AH89="○",AH89="令和６年度中に満たす"),"入力済","未入力"),"")</f>
        <v/>
      </c>
      <c r="AT89" s="469" t="str">
        <f>IF(P89="処遇加算Ⅲ",IF(AI89="○","入力済","未入力"),"")</f>
        <v/>
      </c>
      <c r="AU89" s="467" t="str">
        <f>IF(P89="処遇加算Ⅰ",IF(OR(AJ89="○",AJ89="令和６年度中に満たす"),"入力済","未入力"),"")</f>
        <v/>
      </c>
      <c r="AV89" s="467" t="str">
        <f t="shared" ref="AV89" si="246">IF(OR(P90="特定加算Ⅰ",P90="特定加算Ⅱ"),1,"")</f>
        <v/>
      </c>
      <c r="AW89" s="452" t="str">
        <f>IF(P90="特定加算Ⅰ",IF(AL90="","未入力","入力済"),"")</f>
        <v/>
      </c>
      <c r="AX89" s="452" t="str">
        <f>G89</f>
        <v/>
      </c>
    </row>
    <row r="90" spans="1:50" ht="32.1" customHeight="1">
      <c r="A90" s="1267"/>
      <c r="B90" s="1204"/>
      <c r="C90" s="1204"/>
      <c r="D90" s="1204"/>
      <c r="E90" s="1204"/>
      <c r="F90" s="1204"/>
      <c r="G90" s="1207"/>
      <c r="H90" s="1207"/>
      <c r="I90" s="1207"/>
      <c r="J90" s="1207"/>
      <c r="K90" s="1207"/>
      <c r="L90" s="1210"/>
      <c r="M90" s="470" t="s">
        <v>121</v>
      </c>
      <c r="N90" s="76"/>
      <c r="O90" s="471" t="str">
        <f>IFERROR(VLOOKUP(K89,【参考】数式用!$A$5:$J$37,MATCH(N90,【参考】数式用!$B$4:$J$4,0)+1,0),"")</f>
        <v/>
      </c>
      <c r="P90" s="76"/>
      <c r="Q90" s="471" t="str">
        <f>IFERROR(VLOOKUP(K89,【参考】数式用!$A$5:$J$37,MATCH(P90,【参考】数式用!$B$4:$J$4,0)+1,0),"")</f>
        <v/>
      </c>
      <c r="R90" s="96" t="s">
        <v>15</v>
      </c>
      <c r="S90" s="472">
        <v>6</v>
      </c>
      <c r="T90" s="97" t="s">
        <v>10</v>
      </c>
      <c r="U90" s="58">
        <v>4</v>
      </c>
      <c r="V90" s="97" t="s">
        <v>38</v>
      </c>
      <c r="W90" s="472">
        <v>6</v>
      </c>
      <c r="X90" s="97" t="s">
        <v>10</v>
      </c>
      <c r="Y90" s="58">
        <v>5</v>
      </c>
      <c r="Z90" s="97" t="s">
        <v>13</v>
      </c>
      <c r="AA90" s="473" t="s">
        <v>20</v>
      </c>
      <c r="AB90" s="474">
        <f t="shared" si="112"/>
        <v>2</v>
      </c>
      <c r="AC90" s="97" t="s">
        <v>33</v>
      </c>
      <c r="AD90" s="475" t="str">
        <f t="shared" ref="AD90" si="247">IFERROR(ROUNDDOWN(ROUND(L89*Q90,0),0)*AB90,"")</f>
        <v/>
      </c>
      <c r="AE90" s="476" t="str">
        <f t="shared" si="42"/>
        <v/>
      </c>
      <c r="AF90" s="477"/>
      <c r="AG90" s="362"/>
      <c r="AH90" s="363"/>
      <c r="AI90" s="364"/>
      <c r="AJ90" s="365"/>
      <c r="AK90" s="366"/>
      <c r="AL90" s="367"/>
      <c r="AM90" s="478"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79"/>
      <c r="AO90" s="466" t="str">
        <f>IF(K89&lt;&gt;"","P列・R列に色付け","")</f>
        <v/>
      </c>
      <c r="AX90" s="452" t="str">
        <f>G89</f>
        <v/>
      </c>
    </row>
    <row r="91" spans="1:50" ht="32.1" customHeight="1" thickBot="1">
      <c r="A91" s="1268"/>
      <c r="B91" s="1205"/>
      <c r="C91" s="1205"/>
      <c r="D91" s="1205"/>
      <c r="E91" s="1205"/>
      <c r="F91" s="1205"/>
      <c r="G91" s="1208"/>
      <c r="H91" s="1208"/>
      <c r="I91" s="1208"/>
      <c r="J91" s="1208"/>
      <c r="K91" s="1208"/>
      <c r="L91" s="1211"/>
      <c r="M91" s="480" t="s">
        <v>114</v>
      </c>
      <c r="N91" s="79"/>
      <c r="O91" s="481" t="str">
        <f>IFERROR(VLOOKUP(K89,【参考】数式用!$A$5:$J$37,MATCH(N91,【参考】数式用!$B$4:$J$4,0)+1,0),"")</f>
        <v/>
      </c>
      <c r="P91" s="77"/>
      <c r="Q91" s="481" t="str">
        <f>IFERROR(VLOOKUP(K89,【参考】数式用!$A$5:$J$37,MATCH(P91,【参考】数式用!$B$4:$J$4,0)+1,0),"")</f>
        <v/>
      </c>
      <c r="R91" s="482" t="s">
        <v>15</v>
      </c>
      <c r="S91" s="483">
        <v>6</v>
      </c>
      <c r="T91" s="484" t="s">
        <v>10</v>
      </c>
      <c r="U91" s="59">
        <v>4</v>
      </c>
      <c r="V91" s="484" t="s">
        <v>38</v>
      </c>
      <c r="W91" s="483">
        <v>6</v>
      </c>
      <c r="X91" s="484" t="s">
        <v>10</v>
      </c>
      <c r="Y91" s="59">
        <v>5</v>
      </c>
      <c r="Z91" s="484" t="s">
        <v>13</v>
      </c>
      <c r="AA91" s="485" t="s">
        <v>20</v>
      </c>
      <c r="AB91" s="486">
        <f t="shared" si="112"/>
        <v>2</v>
      </c>
      <c r="AC91" s="484" t="s">
        <v>33</v>
      </c>
      <c r="AD91" s="487" t="str">
        <f t="shared" ref="AD91" si="249">IFERROR(ROUNDDOWN(ROUND(L89*Q91,0),0)*AB91,"")</f>
        <v/>
      </c>
      <c r="AE91" s="488" t="str">
        <f t="shared" si="45"/>
        <v/>
      </c>
      <c r="AF91" s="489">
        <f t="shared" si="141"/>
        <v>0</v>
      </c>
      <c r="AG91" s="368"/>
      <c r="AH91" s="369"/>
      <c r="AI91" s="370"/>
      <c r="AJ91" s="371"/>
      <c r="AK91" s="372"/>
      <c r="AL91" s="373"/>
      <c r="AM91" s="490"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1" t="str">
        <f>IF(K89&lt;&gt;"","P列・R列に色付け","")</f>
        <v/>
      </c>
      <c r="AP91" s="492"/>
      <c r="AQ91" s="492"/>
      <c r="AW91" s="493"/>
      <c r="AX91" s="452" t="str">
        <f>G89</f>
        <v/>
      </c>
    </row>
    <row r="92" spans="1:50" ht="32.1" customHeight="1">
      <c r="A92" s="1266">
        <v>27</v>
      </c>
      <c r="B92" s="1203" t="str">
        <f>IF(基本情報入力シート!C80="","",基本情報入力シート!C80)</f>
        <v/>
      </c>
      <c r="C92" s="1203"/>
      <c r="D92" s="1203"/>
      <c r="E92" s="1203"/>
      <c r="F92" s="1203"/>
      <c r="G92" s="1206" t="str">
        <f>IF(基本情報入力シート!M80="","",基本情報入力シート!M80)</f>
        <v/>
      </c>
      <c r="H92" s="1206" t="str">
        <f>IF(基本情報入力シート!R80="","",基本情報入力シート!R80)</f>
        <v/>
      </c>
      <c r="I92" s="1206" t="str">
        <f>IF(基本情報入力シート!W80="","",基本情報入力シート!W80)</f>
        <v/>
      </c>
      <c r="J92" s="1206" t="str">
        <f>IF(基本情報入力シート!X80="","",基本情報入力シート!X80)</f>
        <v/>
      </c>
      <c r="K92" s="1206" t="str">
        <f>IF(基本情報入力シート!Y80="","",基本情報入力シート!Y80)</f>
        <v/>
      </c>
      <c r="L92" s="1209" t="str">
        <f>IF(基本情報入力シート!AB80="","",基本情報入力シート!AB80)</f>
        <v/>
      </c>
      <c r="M92" s="456" t="s">
        <v>132</v>
      </c>
      <c r="N92" s="75"/>
      <c r="O92" s="457" t="str">
        <f>IFERROR(VLOOKUP(K92,【参考】数式用!$A$5:$J$37,MATCH(N92,【参考】数式用!$B$4:$J$4,0)+1,0),"")</f>
        <v/>
      </c>
      <c r="P92" s="75"/>
      <c r="Q92" s="457" t="str">
        <f>IFERROR(VLOOKUP(K92,【参考】数式用!$A$5:$J$37,MATCH(P92,【参考】数式用!$B$4:$J$4,0)+1,0),"")</f>
        <v/>
      </c>
      <c r="R92" s="458" t="s">
        <v>15</v>
      </c>
      <c r="S92" s="459">
        <v>6</v>
      </c>
      <c r="T92" s="125" t="s">
        <v>10</v>
      </c>
      <c r="U92" s="39">
        <v>4</v>
      </c>
      <c r="V92" s="125" t="s">
        <v>38</v>
      </c>
      <c r="W92" s="459">
        <v>6</v>
      </c>
      <c r="X92" s="125" t="s">
        <v>10</v>
      </c>
      <c r="Y92" s="39">
        <v>5</v>
      </c>
      <c r="Z92" s="125" t="s">
        <v>13</v>
      </c>
      <c r="AA92" s="460" t="s">
        <v>20</v>
      </c>
      <c r="AB92" s="461">
        <f t="shared" si="112"/>
        <v>2</v>
      </c>
      <c r="AC92" s="125" t="s">
        <v>33</v>
      </c>
      <c r="AD92" s="462" t="str">
        <f t="shared" ref="AD92" si="251">IFERROR(ROUNDDOWN(ROUND(L92*Q92,0),0)*AB92,"")</f>
        <v/>
      </c>
      <c r="AE92" s="463" t="str">
        <f t="shared" si="49"/>
        <v/>
      </c>
      <c r="AF92" s="464"/>
      <c r="AG92" s="374"/>
      <c r="AH92" s="382"/>
      <c r="AI92" s="379"/>
      <c r="AJ92" s="380"/>
      <c r="AK92" s="360"/>
      <c r="AL92" s="361"/>
      <c r="AM92" s="465" t="str">
        <f t="shared" ref="AM92" si="252">IF(AO92="","",IF(Q92&lt;O92,"！加算の要件上は問題ありませんが、令和６年３月と比較して４・５月に加算率が下がる計画になっています。",""))</f>
        <v/>
      </c>
      <c r="AO92" s="466" t="str">
        <f>IF(K92&lt;&gt;"","P列・R列に色付け","")</f>
        <v/>
      </c>
      <c r="AP92" s="467" t="str">
        <f>IFERROR(VLOOKUP(K92,【参考】数式用!$AH$2:$AI$34,2,FALSE),"")</f>
        <v/>
      </c>
      <c r="AQ92" s="469" t="str">
        <f>P92&amp;P93&amp;P94</f>
        <v/>
      </c>
      <c r="AR92" s="467" t="str">
        <f t="shared" ref="AR92" si="253">IF(AF94&lt;&gt;0,IF(AG94="○","入力済","未入力"),"")</f>
        <v/>
      </c>
      <c r="AS92" s="468" t="str">
        <f>IF(OR(P92="処遇加算Ⅰ",P92="処遇加算Ⅱ"),IF(OR(AH92="○",AH92="令和６年度中に満たす"),"入力済","未入力"),"")</f>
        <v/>
      </c>
      <c r="AT92" s="469" t="str">
        <f>IF(P92="処遇加算Ⅲ",IF(AI92="○","入力済","未入力"),"")</f>
        <v/>
      </c>
      <c r="AU92" s="467" t="str">
        <f>IF(P92="処遇加算Ⅰ",IF(OR(AJ92="○",AJ92="令和６年度中に満たす"),"入力済","未入力"),"")</f>
        <v/>
      </c>
      <c r="AV92" s="467" t="str">
        <f t="shared" ref="AV92" si="254">IF(OR(P93="特定加算Ⅰ",P93="特定加算Ⅱ"),1,"")</f>
        <v/>
      </c>
      <c r="AW92" s="452" t="str">
        <f>IF(P93="特定加算Ⅰ",IF(AL93="","未入力","入力済"),"")</f>
        <v/>
      </c>
      <c r="AX92" s="452" t="str">
        <f>G92</f>
        <v/>
      </c>
    </row>
    <row r="93" spans="1:50" ht="32.1" customHeight="1">
      <c r="A93" s="1267"/>
      <c r="B93" s="1204"/>
      <c r="C93" s="1204"/>
      <c r="D93" s="1204"/>
      <c r="E93" s="1204"/>
      <c r="F93" s="1204"/>
      <c r="G93" s="1207"/>
      <c r="H93" s="1207"/>
      <c r="I93" s="1207"/>
      <c r="J93" s="1207"/>
      <c r="K93" s="1207"/>
      <c r="L93" s="1210"/>
      <c r="M93" s="470" t="s">
        <v>121</v>
      </c>
      <c r="N93" s="76"/>
      <c r="O93" s="471" t="str">
        <f>IFERROR(VLOOKUP(K92,【参考】数式用!$A$5:$J$37,MATCH(N93,【参考】数式用!$B$4:$J$4,0)+1,0),"")</f>
        <v/>
      </c>
      <c r="P93" s="76"/>
      <c r="Q93" s="471" t="str">
        <f>IFERROR(VLOOKUP(K92,【参考】数式用!$A$5:$J$37,MATCH(P93,【参考】数式用!$B$4:$J$4,0)+1,0),"")</f>
        <v/>
      </c>
      <c r="R93" s="96" t="s">
        <v>15</v>
      </c>
      <c r="S93" s="472">
        <v>6</v>
      </c>
      <c r="T93" s="97" t="s">
        <v>10</v>
      </c>
      <c r="U93" s="58">
        <v>4</v>
      </c>
      <c r="V93" s="97" t="s">
        <v>38</v>
      </c>
      <c r="W93" s="472">
        <v>6</v>
      </c>
      <c r="X93" s="97" t="s">
        <v>10</v>
      </c>
      <c r="Y93" s="58">
        <v>5</v>
      </c>
      <c r="Z93" s="97" t="s">
        <v>13</v>
      </c>
      <c r="AA93" s="473" t="s">
        <v>20</v>
      </c>
      <c r="AB93" s="474">
        <f t="shared" si="112"/>
        <v>2</v>
      </c>
      <c r="AC93" s="97" t="s">
        <v>33</v>
      </c>
      <c r="AD93" s="475" t="str">
        <f t="shared" ref="AD93" si="255">IFERROR(ROUNDDOWN(ROUND(L92*Q93,0),0)*AB93,"")</f>
        <v/>
      </c>
      <c r="AE93" s="476" t="str">
        <f t="shared" si="54"/>
        <v/>
      </c>
      <c r="AF93" s="477"/>
      <c r="AG93" s="362"/>
      <c r="AH93" s="363"/>
      <c r="AI93" s="364"/>
      <c r="AJ93" s="365"/>
      <c r="AK93" s="366"/>
      <c r="AL93" s="367"/>
      <c r="AM93" s="478"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79"/>
      <c r="AO93" s="466" t="str">
        <f>IF(K92&lt;&gt;"","P列・R列に色付け","")</f>
        <v/>
      </c>
      <c r="AX93" s="452" t="str">
        <f>G92</f>
        <v/>
      </c>
    </row>
    <row r="94" spans="1:50" ht="32.1" customHeight="1" thickBot="1">
      <c r="A94" s="1268"/>
      <c r="B94" s="1205"/>
      <c r="C94" s="1205"/>
      <c r="D94" s="1205"/>
      <c r="E94" s="1205"/>
      <c r="F94" s="1205"/>
      <c r="G94" s="1208"/>
      <c r="H94" s="1208"/>
      <c r="I94" s="1208"/>
      <c r="J94" s="1208"/>
      <c r="K94" s="1208"/>
      <c r="L94" s="1211"/>
      <c r="M94" s="480" t="s">
        <v>114</v>
      </c>
      <c r="N94" s="79"/>
      <c r="O94" s="481" t="str">
        <f>IFERROR(VLOOKUP(K92,【参考】数式用!$A$5:$J$37,MATCH(N94,【参考】数式用!$B$4:$J$4,0)+1,0),"")</f>
        <v/>
      </c>
      <c r="P94" s="77"/>
      <c r="Q94" s="481" t="str">
        <f>IFERROR(VLOOKUP(K92,【参考】数式用!$A$5:$J$37,MATCH(P94,【参考】数式用!$B$4:$J$4,0)+1,0),"")</f>
        <v/>
      </c>
      <c r="R94" s="482" t="s">
        <v>15</v>
      </c>
      <c r="S94" s="483">
        <v>6</v>
      </c>
      <c r="T94" s="484" t="s">
        <v>10</v>
      </c>
      <c r="U94" s="59">
        <v>4</v>
      </c>
      <c r="V94" s="484" t="s">
        <v>38</v>
      </c>
      <c r="W94" s="483">
        <v>6</v>
      </c>
      <c r="X94" s="484" t="s">
        <v>10</v>
      </c>
      <c r="Y94" s="59">
        <v>5</v>
      </c>
      <c r="Z94" s="484" t="s">
        <v>13</v>
      </c>
      <c r="AA94" s="485" t="s">
        <v>20</v>
      </c>
      <c r="AB94" s="486">
        <f t="shared" si="112"/>
        <v>2</v>
      </c>
      <c r="AC94" s="484" t="s">
        <v>33</v>
      </c>
      <c r="AD94" s="487" t="str">
        <f t="shared" ref="AD94" si="257">IFERROR(ROUNDDOWN(ROUND(L92*Q94,0),0)*AB94,"")</f>
        <v/>
      </c>
      <c r="AE94" s="488" t="str">
        <f t="shared" si="57"/>
        <v/>
      </c>
      <c r="AF94" s="489">
        <f t="shared" si="141"/>
        <v>0</v>
      </c>
      <c r="AG94" s="368"/>
      <c r="AH94" s="369"/>
      <c r="AI94" s="370"/>
      <c r="AJ94" s="371"/>
      <c r="AK94" s="372"/>
      <c r="AL94" s="373"/>
      <c r="AM94" s="490"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1" t="str">
        <f>IF(K92&lt;&gt;"","P列・R列に色付け","")</f>
        <v/>
      </c>
      <c r="AP94" s="492"/>
      <c r="AQ94" s="492"/>
      <c r="AW94" s="493"/>
      <c r="AX94" s="452" t="str">
        <f>G92</f>
        <v/>
      </c>
    </row>
    <row r="95" spans="1:50" ht="32.1" customHeight="1">
      <c r="A95" s="1266">
        <v>28</v>
      </c>
      <c r="B95" s="1203" t="str">
        <f>IF(基本情報入力シート!C81="","",基本情報入力シート!C81)</f>
        <v/>
      </c>
      <c r="C95" s="1203"/>
      <c r="D95" s="1203"/>
      <c r="E95" s="1203"/>
      <c r="F95" s="1203"/>
      <c r="G95" s="1206" t="str">
        <f>IF(基本情報入力シート!M81="","",基本情報入力シート!M81)</f>
        <v/>
      </c>
      <c r="H95" s="1206" t="str">
        <f>IF(基本情報入力シート!R81="","",基本情報入力シート!R81)</f>
        <v/>
      </c>
      <c r="I95" s="1206" t="str">
        <f>IF(基本情報入力シート!W81="","",基本情報入力シート!W81)</f>
        <v/>
      </c>
      <c r="J95" s="1206" t="str">
        <f>IF(基本情報入力シート!X81="","",基本情報入力シート!X81)</f>
        <v/>
      </c>
      <c r="K95" s="1206" t="str">
        <f>IF(基本情報入力シート!Y81="","",基本情報入力シート!Y81)</f>
        <v/>
      </c>
      <c r="L95" s="1209" t="str">
        <f>IF(基本情報入力シート!AB81="","",基本情報入力シート!AB81)</f>
        <v/>
      </c>
      <c r="M95" s="456" t="s">
        <v>132</v>
      </c>
      <c r="N95" s="75"/>
      <c r="O95" s="457" t="str">
        <f>IFERROR(VLOOKUP(K95,【参考】数式用!$A$5:$J$37,MATCH(N95,【参考】数式用!$B$4:$J$4,0)+1,0),"")</f>
        <v/>
      </c>
      <c r="P95" s="75"/>
      <c r="Q95" s="457" t="str">
        <f>IFERROR(VLOOKUP(K95,【参考】数式用!$A$5:$J$37,MATCH(P95,【参考】数式用!$B$4:$J$4,0)+1,0),"")</f>
        <v/>
      </c>
      <c r="R95" s="458" t="s">
        <v>15</v>
      </c>
      <c r="S95" s="459">
        <v>6</v>
      </c>
      <c r="T95" s="125" t="s">
        <v>10</v>
      </c>
      <c r="U95" s="39">
        <v>4</v>
      </c>
      <c r="V95" s="125" t="s">
        <v>38</v>
      </c>
      <c r="W95" s="459">
        <v>6</v>
      </c>
      <c r="X95" s="125" t="s">
        <v>10</v>
      </c>
      <c r="Y95" s="39">
        <v>5</v>
      </c>
      <c r="Z95" s="125" t="s">
        <v>13</v>
      </c>
      <c r="AA95" s="460" t="s">
        <v>20</v>
      </c>
      <c r="AB95" s="461">
        <f t="shared" ref="AB95:AB158" si="259">IF(U95&gt;=1,(W95*12+Y95)-(S95*12+U95)+1,"")</f>
        <v>2</v>
      </c>
      <c r="AC95" s="125" t="s">
        <v>33</v>
      </c>
      <c r="AD95" s="462" t="str">
        <f t="shared" ref="AD95" si="260">IFERROR(ROUNDDOWN(ROUND(L95*Q95,0),0)*AB95,"")</f>
        <v/>
      </c>
      <c r="AE95" s="463" t="str">
        <f t="shared" ref="AE95" si="261">IFERROR(ROUNDDOWN(ROUND(L95*(Q95-O95),0),0)*AB95,"")</f>
        <v/>
      </c>
      <c r="AF95" s="464"/>
      <c r="AG95" s="374"/>
      <c r="AH95" s="382"/>
      <c r="AI95" s="379"/>
      <c r="AJ95" s="380"/>
      <c r="AK95" s="360"/>
      <c r="AL95" s="361"/>
      <c r="AM95" s="465" t="str">
        <f t="shared" ref="AM95" si="262">IF(AO95="","",IF(Q95&lt;O95,"！加算の要件上は問題ありませんが、令和６年３月と比較して４・５月に加算率が下がる計画になっています。",""))</f>
        <v/>
      </c>
      <c r="AO95" s="466" t="str">
        <f>IF(K95&lt;&gt;"","P列・R列に色付け","")</f>
        <v/>
      </c>
      <c r="AP95" s="467" t="str">
        <f>IFERROR(VLOOKUP(K95,【参考】数式用!$AH$2:$AI$34,2,FALSE),"")</f>
        <v/>
      </c>
      <c r="AQ95" s="469" t="str">
        <f>P95&amp;P96&amp;P97</f>
        <v/>
      </c>
      <c r="AR95" s="467" t="str">
        <f t="shared" ref="AR95" si="263">IF(AF97&lt;&gt;0,IF(AG97="○","入力済","未入力"),"")</f>
        <v/>
      </c>
      <c r="AS95" s="468" t="str">
        <f>IF(OR(P95="処遇加算Ⅰ",P95="処遇加算Ⅱ"),IF(OR(AH95="○",AH95="令和６年度中に満たす"),"入力済","未入力"),"")</f>
        <v/>
      </c>
      <c r="AT95" s="469" t="str">
        <f>IF(P95="処遇加算Ⅲ",IF(AI95="○","入力済","未入力"),"")</f>
        <v/>
      </c>
      <c r="AU95" s="467" t="str">
        <f>IF(P95="処遇加算Ⅰ",IF(OR(AJ95="○",AJ95="令和６年度中に満たす"),"入力済","未入力"),"")</f>
        <v/>
      </c>
      <c r="AV95" s="467" t="str">
        <f t="shared" ref="AV95" si="264">IF(OR(P96="特定加算Ⅰ",P96="特定加算Ⅱ"),1,"")</f>
        <v/>
      </c>
      <c r="AW95" s="452" t="str">
        <f>IF(P96="特定加算Ⅰ",IF(AL96="","未入力","入力済"),"")</f>
        <v/>
      </c>
      <c r="AX95" s="452" t="str">
        <f>G95</f>
        <v/>
      </c>
    </row>
    <row r="96" spans="1:50" ht="32.1" customHeight="1">
      <c r="A96" s="1267"/>
      <c r="B96" s="1204"/>
      <c r="C96" s="1204"/>
      <c r="D96" s="1204"/>
      <c r="E96" s="1204"/>
      <c r="F96" s="1204"/>
      <c r="G96" s="1207"/>
      <c r="H96" s="1207"/>
      <c r="I96" s="1207"/>
      <c r="J96" s="1207"/>
      <c r="K96" s="1207"/>
      <c r="L96" s="1210"/>
      <c r="M96" s="470" t="s">
        <v>121</v>
      </c>
      <c r="N96" s="76"/>
      <c r="O96" s="471" t="str">
        <f>IFERROR(VLOOKUP(K95,【参考】数式用!$A$5:$J$37,MATCH(N96,【参考】数式用!$B$4:$J$4,0)+1,0),"")</f>
        <v/>
      </c>
      <c r="P96" s="76"/>
      <c r="Q96" s="471" t="str">
        <f>IFERROR(VLOOKUP(K95,【参考】数式用!$A$5:$J$37,MATCH(P96,【参考】数式用!$B$4:$J$4,0)+1,0),"")</f>
        <v/>
      </c>
      <c r="R96" s="96" t="s">
        <v>15</v>
      </c>
      <c r="S96" s="472">
        <v>6</v>
      </c>
      <c r="T96" s="97" t="s">
        <v>10</v>
      </c>
      <c r="U96" s="58">
        <v>4</v>
      </c>
      <c r="V96" s="97" t="s">
        <v>38</v>
      </c>
      <c r="W96" s="472">
        <v>6</v>
      </c>
      <c r="X96" s="97" t="s">
        <v>10</v>
      </c>
      <c r="Y96" s="58">
        <v>5</v>
      </c>
      <c r="Z96" s="97" t="s">
        <v>13</v>
      </c>
      <c r="AA96" s="473" t="s">
        <v>20</v>
      </c>
      <c r="AB96" s="474">
        <f t="shared" si="259"/>
        <v>2</v>
      </c>
      <c r="AC96" s="97" t="s">
        <v>33</v>
      </c>
      <c r="AD96" s="475" t="str">
        <f t="shared" ref="AD96" si="265">IFERROR(ROUNDDOWN(ROUND(L95*Q96,0),0)*AB96,"")</f>
        <v/>
      </c>
      <c r="AE96" s="476" t="str">
        <f t="shared" ref="AE96" si="266">IFERROR(ROUNDDOWN(ROUND(L95*(Q96-O96),0),0)*AB96,"")</f>
        <v/>
      </c>
      <c r="AF96" s="477"/>
      <c r="AG96" s="362"/>
      <c r="AH96" s="363"/>
      <c r="AI96" s="364"/>
      <c r="AJ96" s="365"/>
      <c r="AK96" s="366"/>
      <c r="AL96" s="367"/>
      <c r="AM96" s="478"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79"/>
      <c r="AO96" s="466" t="str">
        <f>IF(K95&lt;&gt;"","P列・R列に色付け","")</f>
        <v/>
      </c>
      <c r="AX96" s="452" t="str">
        <f>G95</f>
        <v/>
      </c>
    </row>
    <row r="97" spans="1:50" ht="32.1" customHeight="1" thickBot="1">
      <c r="A97" s="1268"/>
      <c r="B97" s="1205"/>
      <c r="C97" s="1205"/>
      <c r="D97" s="1205"/>
      <c r="E97" s="1205"/>
      <c r="F97" s="1205"/>
      <c r="G97" s="1208"/>
      <c r="H97" s="1208"/>
      <c r="I97" s="1208"/>
      <c r="J97" s="1208"/>
      <c r="K97" s="1208"/>
      <c r="L97" s="1211"/>
      <c r="M97" s="480" t="s">
        <v>114</v>
      </c>
      <c r="N97" s="79"/>
      <c r="O97" s="481" t="str">
        <f>IFERROR(VLOOKUP(K95,【参考】数式用!$A$5:$J$37,MATCH(N97,【参考】数式用!$B$4:$J$4,0)+1,0),"")</f>
        <v/>
      </c>
      <c r="P97" s="77"/>
      <c r="Q97" s="481" t="str">
        <f>IFERROR(VLOOKUP(K95,【参考】数式用!$A$5:$J$37,MATCH(P97,【参考】数式用!$B$4:$J$4,0)+1,0),"")</f>
        <v/>
      </c>
      <c r="R97" s="482" t="s">
        <v>15</v>
      </c>
      <c r="S97" s="483">
        <v>6</v>
      </c>
      <c r="T97" s="484" t="s">
        <v>10</v>
      </c>
      <c r="U97" s="59">
        <v>4</v>
      </c>
      <c r="V97" s="484" t="s">
        <v>38</v>
      </c>
      <c r="W97" s="483">
        <v>6</v>
      </c>
      <c r="X97" s="484" t="s">
        <v>10</v>
      </c>
      <c r="Y97" s="59">
        <v>5</v>
      </c>
      <c r="Z97" s="484" t="s">
        <v>13</v>
      </c>
      <c r="AA97" s="485" t="s">
        <v>20</v>
      </c>
      <c r="AB97" s="486">
        <f t="shared" si="259"/>
        <v>2</v>
      </c>
      <c r="AC97" s="484" t="s">
        <v>33</v>
      </c>
      <c r="AD97" s="487" t="str">
        <f t="shared" ref="AD97" si="268">IFERROR(ROUNDDOWN(ROUND(L95*Q97,0),0)*AB97,"")</f>
        <v/>
      </c>
      <c r="AE97" s="488" t="str">
        <f t="shared" ref="AE97" si="269">IFERROR(ROUNDDOWN(ROUND(L95*(Q97-O97),0),0)*AB97,"")</f>
        <v/>
      </c>
      <c r="AF97" s="489">
        <f t="shared" si="141"/>
        <v>0</v>
      </c>
      <c r="AG97" s="368"/>
      <c r="AH97" s="369"/>
      <c r="AI97" s="370"/>
      <c r="AJ97" s="371"/>
      <c r="AK97" s="372"/>
      <c r="AL97" s="373"/>
      <c r="AM97" s="490"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1" t="str">
        <f>IF(K95&lt;&gt;"","P列・R列に色付け","")</f>
        <v/>
      </c>
      <c r="AP97" s="492"/>
      <c r="AQ97" s="492"/>
      <c r="AW97" s="493"/>
      <c r="AX97" s="452" t="str">
        <f>G95</f>
        <v/>
      </c>
    </row>
    <row r="98" spans="1:50" ht="32.1" customHeight="1">
      <c r="A98" s="1266">
        <v>29</v>
      </c>
      <c r="B98" s="1203" t="str">
        <f>IF(基本情報入力シート!C82="","",基本情報入力シート!C82)</f>
        <v/>
      </c>
      <c r="C98" s="1203"/>
      <c r="D98" s="1203"/>
      <c r="E98" s="1203"/>
      <c r="F98" s="1203"/>
      <c r="G98" s="1206" t="str">
        <f>IF(基本情報入力シート!M82="","",基本情報入力シート!M82)</f>
        <v/>
      </c>
      <c r="H98" s="1206" t="str">
        <f>IF(基本情報入力シート!R82="","",基本情報入力シート!R82)</f>
        <v/>
      </c>
      <c r="I98" s="1206" t="str">
        <f>IF(基本情報入力シート!W82="","",基本情報入力シート!W82)</f>
        <v/>
      </c>
      <c r="J98" s="1206" t="str">
        <f>IF(基本情報入力シート!X82="","",基本情報入力シート!X82)</f>
        <v/>
      </c>
      <c r="K98" s="1206" t="str">
        <f>IF(基本情報入力シート!Y82="","",基本情報入力シート!Y82)</f>
        <v/>
      </c>
      <c r="L98" s="1209" t="str">
        <f>IF(基本情報入力シート!AB82="","",基本情報入力シート!AB82)</f>
        <v/>
      </c>
      <c r="M98" s="456" t="s">
        <v>132</v>
      </c>
      <c r="N98" s="75"/>
      <c r="O98" s="457" t="str">
        <f>IFERROR(VLOOKUP(K98,【参考】数式用!$A$5:$J$37,MATCH(N98,【参考】数式用!$B$4:$J$4,0)+1,0),"")</f>
        <v/>
      </c>
      <c r="P98" s="75"/>
      <c r="Q98" s="457" t="str">
        <f>IFERROR(VLOOKUP(K98,【参考】数式用!$A$5:$J$37,MATCH(P98,【参考】数式用!$B$4:$J$4,0)+1,0),"")</f>
        <v/>
      </c>
      <c r="R98" s="458" t="s">
        <v>15</v>
      </c>
      <c r="S98" s="459">
        <v>6</v>
      </c>
      <c r="T98" s="125" t="s">
        <v>10</v>
      </c>
      <c r="U98" s="39">
        <v>4</v>
      </c>
      <c r="V98" s="125" t="s">
        <v>38</v>
      </c>
      <c r="W98" s="459">
        <v>6</v>
      </c>
      <c r="X98" s="125" t="s">
        <v>10</v>
      </c>
      <c r="Y98" s="39">
        <v>5</v>
      </c>
      <c r="Z98" s="125" t="s">
        <v>13</v>
      </c>
      <c r="AA98" s="460" t="s">
        <v>20</v>
      </c>
      <c r="AB98" s="461">
        <f t="shared" si="259"/>
        <v>2</v>
      </c>
      <c r="AC98" s="125" t="s">
        <v>33</v>
      </c>
      <c r="AD98" s="462" t="str">
        <f t="shared" ref="AD98" si="271">IFERROR(ROUNDDOWN(ROUND(L98*Q98,0),0)*AB98,"")</f>
        <v/>
      </c>
      <c r="AE98" s="463" t="str">
        <f t="shared" ref="AE98:AE161" si="272">IFERROR(ROUNDDOWN(ROUND(L98*(Q98-O98),0),0)*AB98,"")</f>
        <v/>
      </c>
      <c r="AF98" s="464"/>
      <c r="AG98" s="374"/>
      <c r="AH98" s="382"/>
      <c r="AI98" s="379"/>
      <c r="AJ98" s="380"/>
      <c r="AK98" s="360"/>
      <c r="AL98" s="361"/>
      <c r="AM98" s="465" t="str">
        <f t="shared" ref="AM98" si="273">IF(AO98="","",IF(Q98&lt;O98,"！加算の要件上は問題ありませんが、令和６年３月と比較して４・５月に加算率が下がる計画になっています。",""))</f>
        <v/>
      </c>
      <c r="AO98" s="466" t="str">
        <f>IF(K98&lt;&gt;"","P列・R列に色付け","")</f>
        <v/>
      </c>
      <c r="AP98" s="467" t="str">
        <f>IFERROR(VLOOKUP(K98,【参考】数式用!$AH$2:$AI$34,2,FALSE),"")</f>
        <v/>
      </c>
      <c r="AQ98" s="469" t="str">
        <f>P98&amp;P99&amp;P100</f>
        <v/>
      </c>
      <c r="AR98" s="467" t="str">
        <f t="shared" ref="AR98" si="274">IF(AF100&lt;&gt;0,IF(AG100="○","入力済","未入力"),"")</f>
        <v/>
      </c>
      <c r="AS98" s="468" t="str">
        <f>IF(OR(P98="処遇加算Ⅰ",P98="処遇加算Ⅱ"),IF(OR(AH98="○",AH98="令和６年度中に満たす"),"入力済","未入力"),"")</f>
        <v/>
      </c>
      <c r="AT98" s="469" t="str">
        <f>IF(P98="処遇加算Ⅲ",IF(AI98="○","入力済","未入力"),"")</f>
        <v/>
      </c>
      <c r="AU98" s="467" t="str">
        <f>IF(P98="処遇加算Ⅰ",IF(OR(AJ98="○",AJ98="令和６年度中に満たす"),"入力済","未入力"),"")</f>
        <v/>
      </c>
      <c r="AV98" s="467" t="str">
        <f t="shared" ref="AV98" si="275">IF(OR(P99="特定加算Ⅰ",P99="特定加算Ⅱ"),1,"")</f>
        <v/>
      </c>
      <c r="AW98" s="452" t="str">
        <f>IF(P99="特定加算Ⅰ",IF(AL99="","未入力","入力済"),"")</f>
        <v/>
      </c>
      <c r="AX98" s="452" t="str">
        <f>G98</f>
        <v/>
      </c>
    </row>
    <row r="99" spans="1:50" ht="32.1" customHeight="1">
      <c r="A99" s="1267"/>
      <c r="B99" s="1204"/>
      <c r="C99" s="1204"/>
      <c r="D99" s="1204"/>
      <c r="E99" s="1204"/>
      <c r="F99" s="1204"/>
      <c r="G99" s="1207"/>
      <c r="H99" s="1207"/>
      <c r="I99" s="1207"/>
      <c r="J99" s="1207"/>
      <c r="K99" s="1207"/>
      <c r="L99" s="1210"/>
      <c r="M99" s="470" t="s">
        <v>121</v>
      </c>
      <c r="N99" s="76"/>
      <c r="O99" s="471" t="str">
        <f>IFERROR(VLOOKUP(K98,【参考】数式用!$A$5:$J$37,MATCH(N99,【参考】数式用!$B$4:$J$4,0)+1,0),"")</f>
        <v/>
      </c>
      <c r="P99" s="76"/>
      <c r="Q99" s="471" t="str">
        <f>IFERROR(VLOOKUP(K98,【参考】数式用!$A$5:$J$37,MATCH(P99,【参考】数式用!$B$4:$J$4,0)+1,0),"")</f>
        <v/>
      </c>
      <c r="R99" s="96" t="s">
        <v>15</v>
      </c>
      <c r="S99" s="472">
        <v>6</v>
      </c>
      <c r="T99" s="97" t="s">
        <v>10</v>
      </c>
      <c r="U99" s="58">
        <v>4</v>
      </c>
      <c r="V99" s="97" t="s">
        <v>38</v>
      </c>
      <c r="W99" s="472">
        <v>6</v>
      </c>
      <c r="X99" s="97" t="s">
        <v>10</v>
      </c>
      <c r="Y99" s="58">
        <v>5</v>
      </c>
      <c r="Z99" s="97" t="s">
        <v>13</v>
      </c>
      <c r="AA99" s="473" t="s">
        <v>20</v>
      </c>
      <c r="AB99" s="474">
        <f t="shared" si="259"/>
        <v>2</v>
      </c>
      <c r="AC99" s="97" t="s">
        <v>33</v>
      </c>
      <c r="AD99" s="475" t="str">
        <f t="shared" ref="AD99" si="276">IFERROR(ROUNDDOWN(ROUND(L98*Q99,0),0)*AB99,"")</f>
        <v/>
      </c>
      <c r="AE99" s="476" t="str">
        <f t="shared" ref="AE99:AE162" si="277">IFERROR(ROUNDDOWN(ROUND(L98*(Q99-O99),0),0)*AB99,"")</f>
        <v/>
      </c>
      <c r="AF99" s="477"/>
      <c r="AG99" s="362"/>
      <c r="AH99" s="363"/>
      <c r="AI99" s="364"/>
      <c r="AJ99" s="365"/>
      <c r="AK99" s="366"/>
      <c r="AL99" s="367"/>
      <c r="AM99" s="478"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79"/>
      <c r="AO99" s="466" t="str">
        <f>IF(K98&lt;&gt;"","P列・R列に色付け","")</f>
        <v/>
      </c>
      <c r="AX99" s="452" t="str">
        <f>G98</f>
        <v/>
      </c>
    </row>
    <row r="100" spans="1:50" ht="32.1" customHeight="1" thickBot="1">
      <c r="A100" s="1268"/>
      <c r="B100" s="1205"/>
      <c r="C100" s="1205"/>
      <c r="D100" s="1205"/>
      <c r="E100" s="1205"/>
      <c r="F100" s="1205"/>
      <c r="G100" s="1208"/>
      <c r="H100" s="1208"/>
      <c r="I100" s="1208"/>
      <c r="J100" s="1208"/>
      <c r="K100" s="1208"/>
      <c r="L100" s="1211"/>
      <c r="M100" s="480" t="s">
        <v>114</v>
      </c>
      <c r="N100" s="79"/>
      <c r="O100" s="481" t="str">
        <f>IFERROR(VLOOKUP(K98,【参考】数式用!$A$5:$J$37,MATCH(N100,【参考】数式用!$B$4:$J$4,0)+1,0),"")</f>
        <v/>
      </c>
      <c r="P100" s="77"/>
      <c r="Q100" s="481" t="str">
        <f>IFERROR(VLOOKUP(K98,【参考】数式用!$A$5:$J$37,MATCH(P100,【参考】数式用!$B$4:$J$4,0)+1,0),"")</f>
        <v/>
      </c>
      <c r="R100" s="482" t="s">
        <v>15</v>
      </c>
      <c r="S100" s="483">
        <v>6</v>
      </c>
      <c r="T100" s="484" t="s">
        <v>10</v>
      </c>
      <c r="U100" s="59">
        <v>4</v>
      </c>
      <c r="V100" s="484" t="s">
        <v>38</v>
      </c>
      <c r="W100" s="483">
        <v>6</v>
      </c>
      <c r="X100" s="484" t="s">
        <v>10</v>
      </c>
      <c r="Y100" s="59">
        <v>5</v>
      </c>
      <c r="Z100" s="484" t="s">
        <v>13</v>
      </c>
      <c r="AA100" s="485" t="s">
        <v>20</v>
      </c>
      <c r="AB100" s="486">
        <f t="shared" si="259"/>
        <v>2</v>
      </c>
      <c r="AC100" s="484" t="s">
        <v>33</v>
      </c>
      <c r="AD100" s="487" t="str">
        <f t="shared" ref="AD100" si="279">IFERROR(ROUNDDOWN(ROUND(L98*Q100,0),0)*AB100,"")</f>
        <v/>
      </c>
      <c r="AE100" s="488" t="str">
        <f t="shared" ref="AE100:AE163" si="280">IFERROR(ROUNDDOWN(ROUND(L98*(Q100-O100),0),0)*AB100,"")</f>
        <v/>
      </c>
      <c r="AF100" s="489">
        <f t="shared" si="141"/>
        <v>0</v>
      </c>
      <c r="AG100" s="368"/>
      <c r="AH100" s="369"/>
      <c r="AI100" s="370"/>
      <c r="AJ100" s="371"/>
      <c r="AK100" s="372"/>
      <c r="AL100" s="373"/>
      <c r="AM100" s="490"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1" t="str">
        <f>IF(K98&lt;&gt;"","P列・R列に色付け","")</f>
        <v/>
      </c>
      <c r="AP100" s="492"/>
      <c r="AQ100" s="492"/>
      <c r="AW100" s="493"/>
      <c r="AX100" s="452" t="str">
        <f>G98</f>
        <v/>
      </c>
    </row>
    <row r="101" spans="1:50" ht="32.1" customHeight="1">
      <c r="A101" s="1266">
        <v>30</v>
      </c>
      <c r="B101" s="1203" t="str">
        <f>IF(基本情報入力シート!C83="","",基本情報入力シート!C83)</f>
        <v/>
      </c>
      <c r="C101" s="1203"/>
      <c r="D101" s="1203"/>
      <c r="E101" s="1203"/>
      <c r="F101" s="1203"/>
      <c r="G101" s="1206" t="str">
        <f>IF(基本情報入力シート!M83="","",基本情報入力シート!M83)</f>
        <v/>
      </c>
      <c r="H101" s="1206" t="str">
        <f>IF(基本情報入力シート!R83="","",基本情報入力シート!R83)</f>
        <v/>
      </c>
      <c r="I101" s="1206" t="str">
        <f>IF(基本情報入力シート!W83="","",基本情報入力シート!W83)</f>
        <v/>
      </c>
      <c r="J101" s="1206" t="str">
        <f>IF(基本情報入力シート!X83="","",基本情報入力シート!X83)</f>
        <v/>
      </c>
      <c r="K101" s="1206" t="str">
        <f>IF(基本情報入力シート!Y83="","",基本情報入力シート!Y83)</f>
        <v/>
      </c>
      <c r="L101" s="1209" t="str">
        <f>IF(基本情報入力シート!AB83="","",基本情報入力シート!AB83)</f>
        <v/>
      </c>
      <c r="M101" s="456" t="s">
        <v>132</v>
      </c>
      <c r="N101" s="75"/>
      <c r="O101" s="457" t="str">
        <f>IFERROR(VLOOKUP(K101,【参考】数式用!$A$5:$J$37,MATCH(N101,【参考】数式用!$B$4:$J$4,0)+1,0),"")</f>
        <v/>
      </c>
      <c r="P101" s="75"/>
      <c r="Q101" s="457" t="str">
        <f>IFERROR(VLOOKUP(K101,【参考】数式用!$A$5:$J$37,MATCH(P101,【参考】数式用!$B$4:$J$4,0)+1,0),"")</f>
        <v/>
      </c>
      <c r="R101" s="458" t="s">
        <v>15</v>
      </c>
      <c r="S101" s="459">
        <v>6</v>
      </c>
      <c r="T101" s="125" t="s">
        <v>10</v>
      </c>
      <c r="U101" s="39">
        <v>4</v>
      </c>
      <c r="V101" s="125" t="s">
        <v>38</v>
      </c>
      <c r="W101" s="459">
        <v>6</v>
      </c>
      <c r="X101" s="125" t="s">
        <v>10</v>
      </c>
      <c r="Y101" s="39">
        <v>5</v>
      </c>
      <c r="Z101" s="125" t="s">
        <v>13</v>
      </c>
      <c r="AA101" s="460" t="s">
        <v>20</v>
      </c>
      <c r="AB101" s="461">
        <f t="shared" si="259"/>
        <v>2</v>
      </c>
      <c r="AC101" s="125" t="s">
        <v>33</v>
      </c>
      <c r="AD101" s="462" t="str">
        <f t="shared" ref="AD101" si="282">IFERROR(ROUNDDOWN(ROUND(L101*Q101,0),0)*AB101,"")</f>
        <v/>
      </c>
      <c r="AE101" s="463" t="str">
        <f t="shared" ref="AE101:AE164" si="283">IFERROR(ROUNDDOWN(ROUND(L101*(Q101-O101),0),0)*AB101,"")</f>
        <v/>
      </c>
      <c r="AF101" s="464"/>
      <c r="AG101" s="374"/>
      <c r="AH101" s="382"/>
      <c r="AI101" s="379"/>
      <c r="AJ101" s="380"/>
      <c r="AK101" s="360"/>
      <c r="AL101" s="361"/>
      <c r="AM101" s="465" t="str">
        <f t="shared" ref="AM101" si="284">IF(AO101="","",IF(Q101&lt;O101,"！加算の要件上は問題ありませんが、令和６年３月と比較して４・５月に加算率が下がる計画になっています。",""))</f>
        <v/>
      </c>
      <c r="AO101" s="466" t="str">
        <f>IF(K101&lt;&gt;"","P列・R列に色付け","")</f>
        <v/>
      </c>
      <c r="AP101" s="467" t="str">
        <f>IFERROR(VLOOKUP(K101,【参考】数式用!$AH$2:$AI$34,2,FALSE),"")</f>
        <v/>
      </c>
      <c r="AQ101" s="469" t="str">
        <f>P101&amp;P102&amp;P103</f>
        <v/>
      </c>
      <c r="AR101" s="467" t="str">
        <f t="shared" ref="AR101" si="285">IF(AF103&lt;&gt;0,IF(AG103="○","入力済","未入力"),"")</f>
        <v/>
      </c>
      <c r="AS101" s="468" t="str">
        <f>IF(OR(P101="処遇加算Ⅰ",P101="処遇加算Ⅱ"),IF(OR(AH101="○",AH101="令和６年度中に満たす"),"入力済","未入力"),"")</f>
        <v/>
      </c>
      <c r="AT101" s="469" t="str">
        <f>IF(P101="処遇加算Ⅲ",IF(AI101="○","入力済","未入力"),"")</f>
        <v/>
      </c>
      <c r="AU101" s="467" t="str">
        <f>IF(P101="処遇加算Ⅰ",IF(OR(AJ101="○",AJ101="令和６年度中に満たす"),"入力済","未入力"),"")</f>
        <v/>
      </c>
      <c r="AV101" s="467" t="str">
        <f t="shared" ref="AV101" si="286">IF(OR(P102="特定加算Ⅰ",P102="特定加算Ⅱ"),1,"")</f>
        <v/>
      </c>
      <c r="AW101" s="452" t="str">
        <f>IF(P102="特定加算Ⅰ",IF(AL102="","未入力","入力済"),"")</f>
        <v/>
      </c>
      <c r="AX101" s="452" t="str">
        <f>G101</f>
        <v/>
      </c>
    </row>
    <row r="102" spans="1:50" ht="32.1" customHeight="1">
      <c r="A102" s="1267"/>
      <c r="B102" s="1204"/>
      <c r="C102" s="1204"/>
      <c r="D102" s="1204"/>
      <c r="E102" s="1204"/>
      <c r="F102" s="1204"/>
      <c r="G102" s="1207"/>
      <c r="H102" s="1207"/>
      <c r="I102" s="1207"/>
      <c r="J102" s="1207"/>
      <c r="K102" s="1207"/>
      <c r="L102" s="1210"/>
      <c r="M102" s="470" t="s">
        <v>121</v>
      </c>
      <c r="N102" s="76"/>
      <c r="O102" s="471" t="str">
        <f>IFERROR(VLOOKUP(K101,【参考】数式用!$A$5:$J$37,MATCH(N102,【参考】数式用!$B$4:$J$4,0)+1,0),"")</f>
        <v/>
      </c>
      <c r="P102" s="76"/>
      <c r="Q102" s="471" t="str">
        <f>IFERROR(VLOOKUP(K101,【参考】数式用!$A$5:$J$37,MATCH(P102,【参考】数式用!$B$4:$J$4,0)+1,0),"")</f>
        <v/>
      </c>
      <c r="R102" s="96" t="s">
        <v>15</v>
      </c>
      <c r="S102" s="472">
        <v>6</v>
      </c>
      <c r="T102" s="97" t="s">
        <v>10</v>
      </c>
      <c r="U102" s="58">
        <v>4</v>
      </c>
      <c r="V102" s="97" t="s">
        <v>38</v>
      </c>
      <c r="W102" s="472">
        <v>6</v>
      </c>
      <c r="X102" s="97" t="s">
        <v>10</v>
      </c>
      <c r="Y102" s="58">
        <v>5</v>
      </c>
      <c r="Z102" s="97" t="s">
        <v>13</v>
      </c>
      <c r="AA102" s="473" t="s">
        <v>20</v>
      </c>
      <c r="AB102" s="474">
        <f t="shared" si="259"/>
        <v>2</v>
      </c>
      <c r="AC102" s="97" t="s">
        <v>33</v>
      </c>
      <c r="AD102" s="475" t="str">
        <f t="shared" ref="AD102" si="287">IFERROR(ROUNDDOWN(ROUND(L101*Q102,0),0)*AB102,"")</f>
        <v/>
      </c>
      <c r="AE102" s="476" t="str">
        <f t="shared" ref="AE102:AE165" si="288">IFERROR(ROUNDDOWN(ROUND(L101*(Q102-O102),0),0)*AB102,"")</f>
        <v/>
      </c>
      <c r="AF102" s="477"/>
      <c r="AG102" s="362"/>
      <c r="AH102" s="363"/>
      <c r="AI102" s="364"/>
      <c r="AJ102" s="365"/>
      <c r="AK102" s="366"/>
      <c r="AL102" s="367"/>
      <c r="AM102" s="478"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79"/>
      <c r="AO102" s="466" t="str">
        <f>IF(K101&lt;&gt;"","P列・R列に色付け","")</f>
        <v/>
      </c>
      <c r="AX102" s="452" t="str">
        <f>G101</f>
        <v/>
      </c>
    </row>
    <row r="103" spans="1:50" ht="32.1" customHeight="1" thickBot="1">
      <c r="A103" s="1268"/>
      <c r="B103" s="1205"/>
      <c r="C103" s="1205"/>
      <c r="D103" s="1205"/>
      <c r="E103" s="1205"/>
      <c r="F103" s="1205"/>
      <c r="G103" s="1208"/>
      <c r="H103" s="1208"/>
      <c r="I103" s="1208"/>
      <c r="J103" s="1208"/>
      <c r="K103" s="1208"/>
      <c r="L103" s="1211"/>
      <c r="M103" s="480" t="s">
        <v>114</v>
      </c>
      <c r="N103" s="79"/>
      <c r="O103" s="481" t="str">
        <f>IFERROR(VLOOKUP(K101,【参考】数式用!$A$5:$J$37,MATCH(N103,【参考】数式用!$B$4:$J$4,0)+1,0),"")</f>
        <v/>
      </c>
      <c r="P103" s="77"/>
      <c r="Q103" s="481" t="str">
        <f>IFERROR(VLOOKUP(K101,【参考】数式用!$A$5:$J$37,MATCH(P103,【参考】数式用!$B$4:$J$4,0)+1,0),"")</f>
        <v/>
      </c>
      <c r="R103" s="482" t="s">
        <v>15</v>
      </c>
      <c r="S103" s="483">
        <v>6</v>
      </c>
      <c r="T103" s="484" t="s">
        <v>10</v>
      </c>
      <c r="U103" s="59">
        <v>4</v>
      </c>
      <c r="V103" s="484" t="s">
        <v>38</v>
      </c>
      <c r="W103" s="483">
        <v>6</v>
      </c>
      <c r="X103" s="484" t="s">
        <v>10</v>
      </c>
      <c r="Y103" s="59">
        <v>5</v>
      </c>
      <c r="Z103" s="484" t="s">
        <v>13</v>
      </c>
      <c r="AA103" s="485" t="s">
        <v>20</v>
      </c>
      <c r="AB103" s="486">
        <f t="shared" si="259"/>
        <v>2</v>
      </c>
      <c r="AC103" s="484" t="s">
        <v>33</v>
      </c>
      <c r="AD103" s="487" t="str">
        <f t="shared" ref="AD103" si="290">IFERROR(ROUNDDOWN(ROUND(L101*Q103,0),0)*AB103,"")</f>
        <v/>
      </c>
      <c r="AE103" s="488" t="str">
        <f t="shared" ref="AE103:AE166" si="291">IFERROR(ROUNDDOWN(ROUND(L101*(Q103-O103),0),0)*AB103,"")</f>
        <v/>
      </c>
      <c r="AF103" s="489">
        <f t="shared" si="141"/>
        <v>0</v>
      </c>
      <c r="AG103" s="368"/>
      <c r="AH103" s="369"/>
      <c r="AI103" s="370"/>
      <c r="AJ103" s="371"/>
      <c r="AK103" s="372"/>
      <c r="AL103" s="373"/>
      <c r="AM103" s="490"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1" t="str">
        <f>IF(K101&lt;&gt;"","P列・R列に色付け","")</f>
        <v/>
      </c>
      <c r="AP103" s="492"/>
      <c r="AQ103" s="492"/>
      <c r="AW103" s="493"/>
      <c r="AX103" s="452" t="str">
        <f>G101</f>
        <v/>
      </c>
    </row>
    <row r="104" spans="1:50" ht="32.1" customHeight="1">
      <c r="A104" s="1266">
        <v>31</v>
      </c>
      <c r="B104" s="1203" t="str">
        <f>IF(基本情報入力シート!C84="","",基本情報入力シート!C84)</f>
        <v/>
      </c>
      <c r="C104" s="1203"/>
      <c r="D104" s="1203"/>
      <c r="E104" s="1203"/>
      <c r="F104" s="1203"/>
      <c r="G104" s="1206" t="str">
        <f>IF(基本情報入力シート!M84="","",基本情報入力シート!M84)</f>
        <v/>
      </c>
      <c r="H104" s="1206" t="str">
        <f>IF(基本情報入力シート!R84="","",基本情報入力シート!R84)</f>
        <v/>
      </c>
      <c r="I104" s="1206" t="str">
        <f>IF(基本情報入力シート!W84="","",基本情報入力シート!W84)</f>
        <v/>
      </c>
      <c r="J104" s="1206" t="str">
        <f>IF(基本情報入力シート!X84="","",基本情報入力シート!X84)</f>
        <v/>
      </c>
      <c r="K104" s="1206" t="str">
        <f>IF(基本情報入力シート!Y84="","",基本情報入力シート!Y84)</f>
        <v/>
      </c>
      <c r="L104" s="1209" t="str">
        <f>IF(基本情報入力シート!AB84="","",基本情報入力シート!AB84)</f>
        <v/>
      </c>
      <c r="M104" s="456" t="s">
        <v>132</v>
      </c>
      <c r="N104" s="75"/>
      <c r="O104" s="457" t="str">
        <f>IFERROR(VLOOKUP(K104,【参考】数式用!$A$5:$J$37,MATCH(N104,【参考】数式用!$B$4:$J$4,0)+1,0),"")</f>
        <v/>
      </c>
      <c r="P104" s="75"/>
      <c r="Q104" s="457" t="str">
        <f>IFERROR(VLOOKUP(K104,【参考】数式用!$A$5:$J$37,MATCH(P104,【参考】数式用!$B$4:$J$4,0)+1,0),"")</f>
        <v/>
      </c>
      <c r="R104" s="458" t="s">
        <v>15</v>
      </c>
      <c r="S104" s="459">
        <v>6</v>
      </c>
      <c r="T104" s="125" t="s">
        <v>10</v>
      </c>
      <c r="U104" s="39">
        <v>4</v>
      </c>
      <c r="V104" s="125" t="s">
        <v>38</v>
      </c>
      <c r="W104" s="459">
        <v>6</v>
      </c>
      <c r="X104" s="125" t="s">
        <v>10</v>
      </c>
      <c r="Y104" s="39">
        <v>5</v>
      </c>
      <c r="Z104" s="125" t="s">
        <v>13</v>
      </c>
      <c r="AA104" s="460" t="s">
        <v>20</v>
      </c>
      <c r="AB104" s="461">
        <f t="shared" si="259"/>
        <v>2</v>
      </c>
      <c r="AC104" s="125" t="s">
        <v>33</v>
      </c>
      <c r="AD104" s="462" t="str">
        <f t="shared" ref="AD104" si="293">IFERROR(ROUNDDOWN(ROUND(L104*Q104,0),0)*AB104,"")</f>
        <v/>
      </c>
      <c r="AE104" s="463" t="str">
        <f t="shared" ref="AE104" si="294">IFERROR(ROUNDDOWN(ROUND(L104*(Q104-O104),0),0)*AB104,"")</f>
        <v/>
      </c>
      <c r="AF104" s="464"/>
      <c r="AG104" s="374"/>
      <c r="AH104" s="382"/>
      <c r="AI104" s="379"/>
      <c r="AJ104" s="380"/>
      <c r="AK104" s="360"/>
      <c r="AL104" s="361"/>
      <c r="AM104" s="465" t="str">
        <f t="shared" ref="AM104" si="295">IF(AO104="","",IF(Q104&lt;O104,"！加算の要件上は問題ありませんが、令和６年３月と比較して４・５月に加算率が下がる計画になっています。",""))</f>
        <v/>
      </c>
      <c r="AO104" s="466" t="str">
        <f>IF(K104&lt;&gt;"","P列・R列に色付け","")</f>
        <v/>
      </c>
      <c r="AP104" s="467" t="str">
        <f>IFERROR(VLOOKUP(K104,【参考】数式用!$AH$2:$AI$34,2,FALSE),"")</f>
        <v/>
      </c>
      <c r="AQ104" s="469" t="str">
        <f>P104&amp;P105&amp;P106</f>
        <v/>
      </c>
      <c r="AR104" s="467" t="str">
        <f t="shared" ref="AR104" si="296">IF(AF106&lt;&gt;0,IF(AG106="○","入力済","未入力"),"")</f>
        <v/>
      </c>
      <c r="AS104" s="468" t="str">
        <f>IF(OR(P104="処遇加算Ⅰ",P104="処遇加算Ⅱ"),IF(OR(AH104="○",AH104="令和６年度中に満たす"),"入力済","未入力"),"")</f>
        <v/>
      </c>
      <c r="AT104" s="469" t="str">
        <f>IF(P104="処遇加算Ⅲ",IF(AI104="○","入力済","未入力"),"")</f>
        <v/>
      </c>
      <c r="AU104" s="467" t="str">
        <f>IF(P104="処遇加算Ⅰ",IF(OR(AJ104="○",AJ104="令和６年度中に満たす"),"入力済","未入力"),"")</f>
        <v/>
      </c>
      <c r="AV104" s="467" t="str">
        <f t="shared" ref="AV104" si="297">IF(OR(P105="特定加算Ⅰ",P105="特定加算Ⅱ"),1,"")</f>
        <v/>
      </c>
      <c r="AW104" s="452" t="str">
        <f>IF(P105="特定加算Ⅰ",IF(AL105="","未入力","入力済"),"")</f>
        <v/>
      </c>
      <c r="AX104" s="452" t="str">
        <f>G104</f>
        <v/>
      </c>
    </row>
    <row r="105" spans="1:50" ht="32.1" customHeight="1">
      <c r="A105" s="1267"/>
      <c r="B105" s="1204"/>
      <c r="C105" s="1204"/>
      <c r="D105" s="1204"/>
      <c r="E105" s="1204"/>
      <c r="F105" s="1204"/>
      <c r="G105" s="1207"/>
      <c r="H105" s="1207"/>
      <c r="I105" s="1207"/>
      <c r="J105" s="1207"/>
      <c r="K105" s="1207"/>
      <c r="L105" s="1210"/>
      <c r="M105" s="470" t="s">
        <v>121</v>
      </c>
      <c r="N105" s="76"/>
      <c r="O105" s="471" t="str">
        <f>IFERROR(VLOOKUP(K104,【参考】数式用!$A$5:$J$37,MATCH(N105,【参考】数式用!$B$4:$J$4,0)+1,0),"")</f>
        <v/>
      </c>
      <c r="P105" s="76"/>
      <c r="Q105" s="471" t="str">
        <f>IFERROR(VLOOKUP(K104,【参考】数式用!$A$5:$J$37,MATCH(P105,【参考】数式用!$B$4:$J$4,0)+1,0),"")</f>
        <v/>
      </c>
      <c r="R105" s="96" t="s">
        <v>15</v>
      </c>
      <c r="S105" s="472">
        <v>6</v>
      </c>
      <c r="T105" s="97" t="s">
        <v>10</v>
      </c>
      <c r="U105" s="58">
        <v>4</v>
      </c>
      <c r="V105" s="97" t="s">
        <v>38</v>
      </c>
      <c r="W105" s="472">
        <v>6</v>
      </c>
      <c r="X105" s="97" t="s">
        <v>10</v>
      </c>
      <c r="Y105" s="58">
        <v>5</v>
      </c>
      <c r="Z105" s="97" t="s">
        <v>13</v>
      </c>
      <c r="AA105" s="473" t="s">
        <v>20</v>
      </c>
      <c r="AB105" s="474">
        <f t="shared" si="259"/>
        <v>2</v>
      </c>
      <c r="AC105" s="97" t="s">
        <v>33</v>
      </c>
      <c r="AD105" s="475" t="str">
        <f t="shared" ref="AD105" si="298">IFERROR(ROUNDDOWN(ROUND(L104*Q105,0),0)*AB105,"")</f>
        <v/>
      </c>
      <c r="AE105" s="476" t="str">
        <f t="shared" ref="AE105" si="299">IFERROR(ROUNDDOWN(ROUND(L104*(Q105-O105),0),0)*AB105,"")</f>
        <v/>
      </c>
      <c r="AF105" s="477"/>
      <c r="AG105" s="362"/>
      <c r="AH105" s="363"/>
      <c r="AI105" s="364"/>
      <c r="AJ105" s="365"/>
      <c r="AK105" s="366"/>
      <c r="AL105" s="367"/>
      <c r="AM105" s="478"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79"/>
      <c r="AO105" s="466" t="str">
        <f>IF(K104&lt;&gt;"","P列・R列に色付け","")</f>
        <v/>
      </c>
      <c r="AX105" s="452" t="str">
        <f>G104</f>
        <v/>
      </c>
    </row>
    <row r="106" spans="1:50" ht="32.1" customHeight="1" thickBot="1">
      <c r="A106" s="1268"/>
      <c r="B106" s="1205"/>
      <c r="C106" s="1205"/>
      <c r="D106" s="1205"/>
      <c r="E106" s="1205"/>
      <c r="F106" s="1205"/>
      <c r="G106" s="1208"/>
      <c r="H106" s="1208"/>
      <c r="I106" s="1208"/>
      <c r="J106" s="1208"/>
      <c r="K106" s="1208"/>
      <c r="L106" s="1211"/>
      <c r="M106" s="480" t="s">
        <v>114</v>
      </c>
      <c r="N106" s="79"/>
      <c r="O106" s="481" t="str">
        <f>IFERROR(VLOOKUP(K104,【参考】数式用!$A$5:$J$37,MATCH(N106,【参考】数式用!$B$4:$J$4,0)+1,0),"")</f>
        <v/>
      </c>
      <c r="P106" s="77"/>
      <c r="Q106" s="481" t="str">
        <f>IFERROR(VLOOKUP(K104,【参考】数式用!$A$5:$J$37,MATCH(P106,【参考】数式用!$B$4:$J$4,0)+1,0),"")</f>
        <v/>
      </c>
      <c r="R106" s="482" t="s">
        <v>15</v>
      </c>
      <c r="S106" s="483">
        <v>6</v>
      </c>
      <c r="T106" s="484" t="s">
        <v>10</v>
      </c>
      <c r="U106" s="59">
        <v>4</v>
      </c>
      <c r="V106" s="484" t="s">
        <v>38</v>
      </c>
      <c r="W106" s="483">
        <v>6</v>
      </c>
      <c r="X106" s="484" t="s">
        <v>10</v>
      </c>
      <c r="Y106" s="59">
        <v>5</v>
      </c>
      <c r="Z106" s="484" t="s">
        <v>13</v>
      </c>
      <c r="AA106" s="485" t="s">
        <v>20</v>
      </c>
      <c r="AB106" s="486">
        <f t="shared" si="259"/>
        <v>2</v>
      </c>
      <c r="AC106" s="484" t="s">
        <v>33</v>
      </c>
      <c r="AD106" s="487" t="str">
        <f t="shared" ref="AD106" si="301">IFERROR(ROUNDDOWN(ROUND(L104*Q106,0),0)*AB106,"")</f>
        <v/>
      </c>
      <c r="AE106" s="488" t="str">
        <f t="shared" ref="AE106" si="302">IFERROR(ROUNDDOWN(ROUND(L104*(Q106-O106),0),0)*AB106,"")</f>
        <v/>
      </c>
      <c r="AF106" s="489">
        <f t="shared" si="141"/>
        <v>0</v>
      </c>
      <c r="AG106" s="368"/>
      <c r="AH106" s="369"/>
      <c r="AI106" s="370"/>
      <c r="AJ106" s="371"/>
      <c r="AK106" s="372"/>
      <c r="AL106" s="373"/>
      <c r="AM106" s="490"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1" t="str">
        <f>IF(K104&lt;&gt;"","P列・R列に色付け","")</f>
        <v/>
      </c>
      <c r="AP106" s="492"/>
      <c r="AQ106" s="492"/>
      <c r="AW106" s="493"/>
      <c r="AX106" s="452" t="str">
        <f>G104</f>
        <v/>
      </c>
    </row>
    <row r="107" spans="1:50" ht="32.1" customHeight="1">
      <c r="A107" s="1266">
        <v>32</v>
      </c>
      <c r="B107" s="1203" t="str">
        <f>IF(基本情報入力シート!C85="","",基本情報入力シート!C85)</f>
        <v/>
      </c>
      <c r="C107" s="1203"/>
      <c r="D107" s="1203"/>
      <c r="E107" s="1203"/>
      <c r="F107" s="1203"/>
      <c r="G107" s="1206" t="str">
        <f>IF(基本情報入力シート!M85="","",基本情報入力シート!M85)</f>
        <v/>
      </c>
      <c r="H107" s="1206" t="str">
        <f>IF(基本情報入力シート!R85="","",基本情報入力シート!R85)</f>
        <v/>
      </c>
      <c r="I107" s="1206" t="str">
        <f>IF(基本情報入力シート!W85="","",基本情報入力シート!W85)</f>
        <v/>
      </c>
      <c r="J107" s="1206" t="str">
        <f>IF(基本情報入力シート!X85="","",基本情報入力シート!X85)</f>
        <v/>
      </c>
      <c r="K107" s="1206" t="str">
        <f>IF(基本情報入力シート!Y85="","",基本情報入力シート!Y85)</f>
        <v/>
      </c>
      <c r="L107" s="1209" t="str">
        <f>IF(基本情報入力シート!AB85="","",基本情報入力シート!AB85)</f>
        <v/>
      </c>
      <c r="M107" s="456" t="s">
        <v>132</v>
      </c>
      <c r="N107" s="75"/>
      <c r="O107" s="457" t="str">
        <f>IFERROR(VLOOKUP(K107,【参考】数式用!$A$5:$J$37,MATCH(N107,【参考】数式用!$B$4:$J$4,0)+1,0),"")</f>
        <v/>
      </c>
      <c r="P107" s="75"/>
      <c r="Q107" s="457" t="str">
        <f>IFERROR(VLOOKUP(K107,【参考】数式用!$A$5:$J$37,MATCH(P107,【参考】数式用!$B$4:$J$4,0)+1,0),"")</f>
        <v/>
      </c>
      <c r="R107" s="458" t="s">
        <v>15</v>
      </c>
      <c r="S107" s="459">
        <v>6</v>
      </c>
      <c r="T107" s="125" t="s">
        <v>10</v>
      </c>
      <c r="U107" s="39">
        <v>4</v>
      </c>
      <c r="V107" s="125" t="s">
        <v>38</v>
      </c>
      <c r="W107" s="459">
        <v>6</v>
      </c>
      <c r="X107" s="125" t="s">
        <v>10</v>
      </c>
      <c r="Y107" s="39">
        <v>5</v>
      </c>
      <c r="Z107" s="125" t="s">
        <v>13</v>
      </c>
      <c r="AA107" s="460" t="s">
        <v>20</v>
      </c>
      <c r="AB107" s="461">
        <f t="shared" si="259"/>
        <v>2</v>
      </c>
      <c r="AC107" s="125" t="s">
        <v>33</v>
      </c>
      <c r="AD107" s="462" t="str">
        <f t="shared" ref="AD107" si="304">IFERROR(ROUNDDOWN(ROUND(L107*Q107,0),0)*AB107,"")</f>
        <v/>
      </c>
      <c r="AE107" s="463" t="str">
        <f t="shared" si="272"/>
        <v/>
      </c>
      <c r="AF107" s="464"/>
      <c r="AG107" s="374"/>
      <c r="AH107" s="382"/>
      <c r="AI107" s="379"/>
      <c r="AJ107" s="380"/>
      <c r="AK107" s="360"/>
      <c r="AL107" s="361"/>
      <c r="AM107" s="465" t="str">
        <f t="shared" ref="AM107" si="305">IF(AO107="","",IF(Q107&lt;O107,"！加算の要件上は問題ありませんが、令和６年３月と比較して４・５月に加算率が下がる計画になっています。",""))</f>
        <v/>
      </c>
      <c r="AO107" s="466" t="str">
        <f>IF(K107&lt;&gt;"","P列・R列に色付け","")</f>
        <v/>
      </c>
      <c r="AP107" s="467" t="str">
        <f>IFERROR(VLOOKUP(K107,【参考】数式用!$AH$2:$AI$34,2,FALSE),"")</f>
        <v/>
      </c>
      <c r="AQ107" s="469" t="str">
        <f>P107&amp;P108&amp;P109</f>
        <v/>
      </c>
      <c r="AR107" s="467" t="str">
        <f t="shared" ref="AR107" si="306">IF(AF109&lt;&gt;0,IF(AG109="○","入力済","未入力"),"")</f>
        <v/>
      </c>
      <c r="AS107" s="468" t="str">
        <f>IF(OR(P107="処遇加算Ⅰ",P107="処遇加算Ⅱ"),IF(OR(AH107="○",AH107="令和６年度中に満たす"),"入力済","未入力"),"")</f>
        <v/>
      </c>
      <c r="AT107" s="469" t="str">
        <f>IF(P107="処遇加算Ⅲ",IF(AI107="○","入力済","未入力"),"")</f>
        <v/>
      </c>
      <c r="AU107" s="467" t="str">
        <f>IF(P107="処遇加算Ⅰ",IF(OR(AJ107="○",AJ107="令和６年度中に満たす"),"入力済","未入力"),"")</f>
        <v/>
      </c>
      <c r="AV107" s="467" t="str">
        <f t="shared" ref="AV107" si="307">IF(OR(P108="特定加算Ⅰ",P108="特定加算Ⅱ"),1,"")</f>
        <v/>
      </c>
      <c r="AW107" s="452" t="str">
        <f>IF(P108="特定加算Ⅰ",IF(AL108="","未入力","入力済"),"")</f>
        <v/>
      </c>
      <c r="AX107" s="452" t="str">
        <f>G107</f>
        <v/>
      </c>
    </row>
    <row r="108" spans="1:50" ht="32.1" customHeight="1">
      <c r="A108" s="1267"/>
      <c r="B108" s="1204"/>
      <c r="C108" s="1204"/>
      <c r="D108" s="1204"/>
      <c r="E108" s="1204"/>
      <c r="F108" s="1204"/>
      <c r="G108" s="1207"/>
      <c r="H108" s="1207"/>
      <c r="I108" s="1207"/>
      <c r="J108" s="1207"/>
      <c r="K108" s="1207"/>
      <c r="L108" s="1210"/>
      <c r="M108" s="470" t="s">
        <v>121</v>
      </c>
      <c r="N108" s="76"/>
      <c r="O108" s="471" t="str">
        <f>IFERROR(VLOOKUP(K107,【参考】数式用!$A$5:$J$37,MATCH(N108,【参考】数式用!$B$4:$J$4,0)+1,0),"")</f>
        <v/>
      </c>
      <c r="P108" s="76"/>
      <c r="Q108" s="471" t="str">
        <f>IFERROR(VLOOKUP(K107,【参考】数式用!$A$5:$J$37,MATCH(P108,【参考】数式用!$B$4:$J$4,0)+1,0),"")</f>
        <v/>
      </c>
      <c r="R108" s="96" t="s">
        <v>15</v>
      </c>
      <c r="S108" s="472">
        <v>6</v>
      </c>
      <c r="T108" s="97" t="s">
        <v>10</v>
      </c>
      <c r="U108" s="58">
        <v>4</v>
      </c>
      <c r="V108" s="97" t="s">
        <v>38</v>
      </c>
      <c r="W108" s="472">
        <v>6</v>
      </c>
      <c r="X108" s="97" t="s">
        <v>10</v>
      </c>
      <c r="Y108" s="58">
        <v>5</v>
      </c>
      <c r="Z108" s="97" t="s">
        <v>13</v>
      </c>
      <c r="AA108" s="473" t="s">
        <v>20</v>
      </c>
      <c r="AB108" s="474">
        <f t="shared" si="259"/>
        <v>2</v>
      </c>
      <c r="AC108" s="97" t="s">
        <v>33</v>
      </c>
      <c r="AD108" s="475" t="str">
        <f t="shared" ref="AD108" si="308">IFERROR(ROUNDDOWN(ROUND(L107*Q108,0),0)*AB108,"")</f>
        <v/>
      </c>
      <c r="AE108" s="476" t="str">
        <f t="shared" si="277"/>
        <v/>
      </c>
      <c r="AF108" s="477"/>
      <c r="AG108" s="362"/>
      <c r="AH108" s="363"/>
      <c r="AI108" s="364"/>
      <c r="AJ108" s="365"/>
      <c r="AK108" s="366"/>
      <c r="AL108" s="367"/>
      <c r="AM108" s="478"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79"/>
      <c r="AO108" s="466" t="str">
        <f>IF(K107&lt;&gt;"","P列・R列に色付け","")</f>
        <v/>
      </c>
      <c r="AX108" s="452" t="str">
        <f>G107</f>
        <v/>
      </c>
    </row>
    <row r="109" spans="1:50" ht="32.1" customHeight="1" thickBot="1">
      <c r="A109" s="1268"/>
      <c r="B109" s="1205"/>
      <c r="C109" s="1205"/>
      <c r="D109" s="1205"/>
      <c r="E109" s="1205"/>
      <c r="F109" s="1205"/>
      <c r="G109" s="1208"/>
      <c r="H109" s="1208"/>
      <c r="I109" s="1208"/>
      <c r="J109" s="1208"/>
      <c r="K109" s="1208"/>
      <c r="L109" s="1211"/>
      <c r="M109" s="480" t="s">
        <v>114</v>
      </c>
      <c r="N109" s="79"/>
      <c r="O109" s="481" t="str">
        <f>IFERROR(VLOOKUP(K107,【参考】数式用!$A$5:$J$37,MATCH(N109,【参考】数式用!$B$4:$J$4,0)+1,0),"")</f>
        <v/>
      </c>
      <c r="P109" s="77"/>
      <c r="Q109" s="481" t="str">
        <f>IFERROR(VLOOKUP(K107,【参考】数式用!$A$5:$J$37,MATCH(P109,【参考】数式用!$B$4:$J$4,0)+1,0),"")</f>
        <v/>
      </c>
      <c r="R109" s="482" t="s">
        <v>15</v>
      </c>
      <c r="S109" s="483">
        <v>6</v>
      </c>
      <c r="T109" s="484" t="s">
        <v>10</v>
      </c>
      <c r="U109" s="59">
        <v>4</v>
      </c>
      <c r="V109" s="484" t="s">
        <v>38</v>
      </c>
      <c r="W109" s="483">
        <v>6</v>
      </c>
      <c r="X109" s="484" t="s">
        <v>10</v>
      </c>
      <c r="Y109" s="59">
        <v>5</v>
      </c>
      <c r="Z109" s="484" t="s">
        <v>13</v>
      </c>
      <c r="AA109" s="485" t="s">
        <v>20</v>
      </c>
      <c r="AB109" s="486">
        <f t="shared" si="259"/>
        <v>2</v>
      </c>
      <c r="AC109" s="484" t="s">
        <v>33</v>
      </c>
      <c r="AD109" s="487" t="str">
        <f t="shared" ref="AD109" si="310">IFERROR(ROUNDDOWN(ROUND(L107*Q109,0),0)*AB109,"")</f>
        <v/>
      </c>
      <c r="AE109" s="488" t="str">
        <f t="shared" si="280"/>
        <v/>
      </c>
      <c r="AF109" s="489">
        <f t="shared" si="141"/>
        <v>0</v>
      </c>
      <c r="AG109" s="368"/>
      <c r="AH109" s="369"/>
      <c r="AI109" s="370"/>
      <c r="AJ109" s="371"/>
      <c r="AK109" s="372"/>
      <c r="AL109" s="373"/>
      <c r="AM109" s="490"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1" t="str">
        <f>IF(K107&lt;&gt;"","P列・R列に色付け","")</f>
        <v/>
      </c>
      <c r="AP109" s="492"/>
      <c r="AQ109" s="492"/>
      <c r="AW109" s="493"/>
      <c r="AX109" s="452" t="str">
        <f>G107</f>
        <v/>
      </c>
    </row>
    <row r="110" spans="1:50" ht="32.1" customHeight="1">
      <c r="A110" s="1266">
        <v>33</v>
      </c>
      <c r="B110" s="1203" t="str">
        <f>IF(基本情報入力シート!C86="","",基本情報入力シート!C86)</f>
        <v/>
      </c>
      <c r="C110" s="1203"/>
      <c r="D110" s="1203"/>
      <c r="E110" s="1203"/>
      <c r="F110" s="1203"/>
      <c r="G110" s="1206" t="str">
        <f>IF(基本情報入力シート!M86="","",基本情報入力シート!M86)</f>
        <v/>
      </c>
      <c r="H110" s="1206" t="str">
        <f>IF(基本情報入力シート!R86="","",基本情報入力シート!R86)</f>
        <v/>
      </c>
      <c r="I110" s="1206" t="str">
        <f>IF(基本情報入力シート!W86="","",基本情報入力シート!W86)</f>
        <v/>
      </c>
      <c r="J110" s="1206" t="str">
        <f>IF(基本情報入力シート!X86="","",基本情報入力シート!X86)</f>
        <v/>
      </c>
      <c r="K110" s="1206" t="str">
        <f>IF(基本情報入力シート!Y86="","",基本情報入力シート!Y86)</f>
        <v/>
      </c>
      <c r="L110" s="1209" t="str">
        <f>IF(基本情報入力シート!AB86="","",基本情報入力シート!AB86)</f>
        <v/>
      </c>
      <c r="M110" s="456" t="s">
        <v>132</v>
      </c>
      <c r="N110" s="75"/>
      <c r="O110" s="457" t="str">
        <f>IFERROR(VLOOKUP(K110,【参考】数式用!$A$5:$J$37,MATCH(N110,【参考】数式用!$B$4:$J$4,0)+1,0),"")</f>
        <v/>
      </c>
      <c r="P110" s="75"/>
      <c r="Q110" s="457" t="str">
        <f>IFERROR(VLOOKUP(K110,【参考】数式用!$A$5:$J$37,MATCH(P110,【参考】数式用!$B$4:$J$4,0)+1,0),"")</f>
        <v/>
      </c>
      <c r="R110" s="458" t="s">
        <v>15</v>
      </c>
      <c r="S110" s="459">
        <v>6</v>
      </c>
      <c r="T110" s="125" t="s">
        <v>10</v>
      </c>
      <c r="U110" s="39">
        <v>4</v>
      </c>
      <c r="V110" s="125" t="s">
        <v>38</v>
      </c>
      <c r="W110" s="459">
        <v>6</v>
      </c>
      <c r="X110" s="125" t="s">
        <v>10</v>
      </c>
      <c r="Y110" s="39">
        <v>5</v>
      </c>
      <c r="Z110" s="125" t="s">
        <v>13</v>
      </c>
      <c r="AA110" s="460" t="s">
        <v>20</v>
      </c>
      <c r="AB110" s="461">
        <f t="shared" si="259"/>
        <v>2</v>
      </c>
      <c r="AC110" s="125" t="s">
        <v>33</v>
      </c>
      <c r="AD110" s="462" t="str">
        <f t="shared" ref="AD110" si="312">IFERROR(ROUNDDOWN(ROUND(L110*Q110,0),0)*AB110,"")</f>
        <v/>
      </c>
      <c r="AE110" s="463" t="str">
        <f t="shared" si="283"/>
        <v/>
      </c>
      <c r="AF110" s="464"/>
      <c r="AG110" s="374"/>
      <c r="AH110" s="382"/>
      <c r="AI110" s="379"/>
      <c r="AJ110" s="380"/>
      <c r="AK110" s="360"/>
      <c r="AL110" s="361"/>
      <c r="AM110" s="465" t="str">
        <f t="shared" ref="AM110" si="313">IF(AO110="","",IF(Q110&lt;O110,"！加算の要件上は問題ありませんが、令和６年３月と比較して４・５月に加算率が下がる計画になっています。",""))</f>
        <v/>
      </c>
      <c r="AO110" s="466" t="str">
        <f>IF(K110&lt;&gt;"","P列・R列に色付け","")</f>
        <v/>
      </c>
      <c r="AP110" s="467" t="str">
        <f>IFERROR(VLOOKUP(K110,【参考】数式用!$AH$2:$AI$34,2,FALSE),"")</f>
        <v/>
      </c>
      <c r="AQ110" s="469" t="str">
        <f>P110&amp;P111&amp;P112</f>
        <v/>
      </c>
      <c r="AR110" s="467" t="str">
        <f t="shared" ref="AR110" si="314">IF(AF112&lt;&gt;0,IF(AG112="○","入力済","未入力"),"")</f>
        <v/>
      </c>
      <c r="AS110" s="468" t="str">
        <f>IF(OR(P110="処遇加算Ⅰ",P110="処遇加算Ⅱ"),IF(OR(AH110="○",AH110="令和６年度中に満たす"),"入力済","未入力"),"")</f>
        <v/>
      </c>
      <c r="AT110" s="469" t="str">
        <f>IF(P110="処遇加算Ⅲ",IF(AI110="○","入力済","未入力"),"")</f>
        <v/>
      </c>
      <c r="AU110" s="467" t="str">
        <f>IF(P110="処遇加算Ⅰ",IF(OR(AJ110="○",AJ110="令和６年度中に満たす"),"入力済","未入力"),"")</f>
        <v/>
      </c>
      <c r="AV110" s="467" t="str">
        <f t="shared" ref="AV110" si="315">IF(OR(P111="特定加算Ⅰ",P111="特定加算Ⅱ"),1,"")</f>
        <v/>
      </c>
      <c r="AW110" s="452" t="str">
        <f>IF(P111="特定加算Ⅰ",IF(AL111="","未入力","入力済"),"")</f>
        <v/>
      </c>
      <c r="AX110" s="452" t="str">
        <f>G110</f>
        <v/>
      </c>
    </row>
    <row r="111" spans="1:50" ht="32.1" customHeight="1">
      <c r="A111" s="1267"/>
      <c r="B111" s="1204"/>
      <c r="C111" s="1204"/>
      <c r="D111" s="1204"/>
      <c r="E111" s="1204"/>
      <c r="F111" s="1204"/>
      <c r="G111" s="1207"/>
      <c r="H111" s="1207"/>
      <c r="I111" s="1207"/>
      <c r="J111" s="1207"/>
      <c r="K111" s="1207"/>
      <c r="L111" s="1210"/>
      <c r="M111" s="470" t="s">
        <v>121</v>
      </c>
      <c r="N111" s="76"/>
      <c r="O111" s="471" t="str">
        <f>IFERROR(VLOOKUP(K110,【参考】数式用!$A$5:$J$37,MATCH(N111,【参考】数式用!$B$4:$J$4,0)+1,0),"")</f>
        <v/>
      </c>
      <c r="P111" s="76"/>
      <c r="Q111" s="471" t="str">
        <f>IFERROR(VLOOKUP(K110,【参考】数式用!$A$5:$J$37,MATCH(P111,【参考】数式用!$B$4:$J$4,0)+1,0),"")</f>
        <v/>
      </c>
      <c r="R111" s="96" t="s">
        <v>15</v>
      </c>
      <c r="S111" s="472">
        <v>6</v>
      </c>
      <c r="T111" s="97" t="s">
        <v>10</v>
      </c>
      <c r="U111" s="58">
        <v>4</v>
      </c>
      <c r="V111" s="97" t="s">
        <v>38</v>
      </c>
      <c r="W111" s="472">
        <v>6</v>
      </c>
      <c r="X111" s="97" t="s">
        <v>10</v>
      </c>
      <c r="Y111" s="58">
        <v>5</v>
      </c>
      <c r="Z111" s="97" t="s">
        <v>13</v>
      </c>
      <c r="AA111" s="473" t="s">
        <v>20</v>
      </c>
      <c r="AB111" s="474">
        <f t="shared" si="259"/>
        <v>2</v>
      </c>
      <c r="AC111" s="97" t="s">
        <v>33</v>
      </c>
      <c r="AD111" s="475" t="str">
        <f t="shared" ref="AD111" si="316">IFERROR(ROUNDDOWN(ROUND(L110*Q111,0),0)*AB111,"")</f>
        <v/>
      </c>
      <c r="AE111" s="476" t="str">
        <f t="shared" si="288"/>
        <v/>
      </c>
      <c r="AF111" s="477"/>
      <c r="AG111" s="362"/>
      <c r="AH111" s="363"/>
      <c r="AI111" s="364"/>
      <c r="AJ111" s="365"/>
      <c r="AK111" s="366"/>
      <c r="AL111" s="367"/>
      <c r="AM111" s="478"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79"/>
      <c r="AO111" s="466" t="str">
        <f>IF(K110&lt;&gt;"","P列・R列に色付け","")</f>
        <v/>
      </c>
      <c r="AX111" s="452" t="str">
        <f>G110</f>
        <v/>
      </c>
    </row>
    <row r="112" spans="1:50" ht="32.1" customHeight="1" thickBot="1">
      <c r="A112" s="1268"/>
      <c r="B112" s="1205"/>
      <c r="C112" s="1205"/>
      <c r="D112" s="1205"/>
      <c r="E112" s="1205"/>
      <c r="F112" s="1205"/>
      <c r="G112" s="1208"/>
      <c r="H112" s="1208"/>
      <c r="I112" s="1208"/>
      <c r="J112" s="1208"/>
      <c r="K112" s="1208"/>
      <c r="L112" s="1211"/>
      <c r="M112" s="480" t="s">
        <v>114</v>
      </c>
      <c r="N112" s="79"/>
      <c r="O112" s="481" t="str">
        <f>IFERROR(VLOOKUP(K110,【参考】数式用!$A$5:$J$37,MATCH(N112,【参考】数式用!$B$4:$J$4,0)+1,0),"")</f>
        <v/>
      </c>
      <c r="P112" s="77"/>
      <c r="Q112" s="481" t="str">
        <f>IFERROR(VLOOKUP(K110,【参考】数式用!$A$5:$J$37,MATCH(P112,【参考】数式用!$B$4:$J$4,0)+1,0),"")</f>
        <v/>
      </c>
      <c r="R112" s="482" t="s">
        <v>15</v>
      </c>
      <c r="S112" s="483">
        <v>6</v>
      </c>
      <c r="T112" s="484" t="s">
        <v>10</v>
      </c>
      <c r="U112" s="59">
        <v>4</v>
      </c>
      <c r="V112" s="484" t="s">
        <v>38</v>
      </c>
      <c r="W112" s="483">
        <v>6</v>
      </c>
      <c r="X112" s="484" t="s">
        <v>10</v>
      </c>
      <c r="Y112" s="59">
        <v>5</v>
      </c>
      <c r="Z112" s="484" t="s">
        <v>13</v>
      </c>
      <c r="AA112" s="485" t="s">
        <v>20</v>
      </c>
      <c r="AB112" s="486">
        <f t="shared" si="259"/>
        <v>2</v>
      </c>
      <c r="AC112" s="484" t="s">
        <v>33</v>
      </c>
      <c r="AD112" s="487" t="str">
        <f t="shared" ref="AD112" si="318">IFERROR(ROUNDDOWN(ROUND(L110*Q112,0),0)*AB112,"")</f>
        <v/>
      </c>
      <c r="AE112" s="488" t="str">
        <f t="shared" si="291"/>
        <v/>
      </c>
      <c r="AF112" s="489">
        <f t="shared" si="141"/>
        <v>0</v>
      </c>
      <c r="AG112" s="368"/>
      <c r="AH112" s="369"/>
      <c r="AI112" s="370"/>
      <c r="AJ112" s="371"/>
      <c r="AK112" s="372"/>
      <c r="AL112" s="373"/>
      <c r="AM112" s="490"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1" t="str">
        <f>IF(K110&lt;&gt;"","P列・R列に色付け","")</f>
        <v/>
      </c>
      <c r="AP112" s="492"/>
      <c r="AQ112" s="492"/>
      <c r="AW112" s="493"/>
      <c r="AX112" s="452" t="str">
        <f>G110</f>
        <v/>
      </c>
    </row>
    <row r="113" spans="1:50" ht="32.1" customHeight="1">
      <c r="A113" s="1266">
        <v>34</v>
      </c>
      <c r="B113" s="1203" t="str">
        <f>IF(基本情報入力シート!C87="","",基本情報入力シート!C87)</f>
        <v/>
      </c>
      <c r="C113" s="1203"/>
      <c r="D113" s="1203"/>
      <c r="E113" s="1203"/>
      <c r="F113" s="1203"/>
      <c r="G113" s="1206" t="str">
        <f>IF(基本情報入力シート!M87="","",基本情報入力シート!M87)</f>
        <v/>
      </c>
      <c r="H113" s="1206" t="str">
        <f>IF(基本情報入力シート!R87="","",基本情報入力シート!R87)</f>
        <v/>
      </c>
      <c r="I113" s="1206" t="str">
        <f>IF(基本情報入力シート!W87="","",基本情報入力シート!W87)</f>
        <v/>
      </c>
      <c r="J113" s="1206" t="str">
        <f>IF(基本情報入力シート!X87="","",基本情報入力シート!X87)</f>
        <v/>
      </c>
      <c r="K113" s="1206" t="str">
        <f>IF(基本情報入力シート!Y87="","",基本情報入力シート!Y87)</f>
        <v/>
      </c>
      <c r="L113" s="1209" t="str">
        <f>IF(基本情報入力シート!AB87="","",基本情報入力シート!AB87)</f>
        <v/>
      </c>
      <c r="M113" s="456" t="s">
        <v>132</v>
      </c>
      <c r="N113" s="75"/>
      <c r="O113" s="457" t="str">
        <f>IFERROR(VLOOKUP(K113,【参考】数式用!$A$5:$J$37,MATCH(N113,【参考】数式用!$B$4:$J$4,0)+1,0),"")</f>
        <v/>
      </c>
      <c r="P113" s="75"/>
      <c r="Q113" s="457" t="str">
        <f>IFERROR(VLOOKUP(K113,【参考】数式用!$A$5:$J$37,MATCH(P113,【参考】数式用!$B$4:$J$4,0)+1,0),"")</f>
        <v/>
      </c>
      <c r="R113" s="458" t="s">
        <v>15</v>
      </c>
      <c r="S113" s="459">
        <v>6</v>
      </c>
      <c r="T113" s="125" t="s">
        <v>10</v>
      </c>
      <c r="U113" s="39">
        <v>4</v>
      </c>
      <c r="V113" s="125" t="s">
        <v>38</v>
      </c>
      <c r="W113" s="459">
        <v>6</v>
      </c>
      <c r="X113" s="125" t="s">
        <v>10</v>
      </c>
      <c r="Y113" s="39">
        <v>5</v>
      </c>
      <c r="Z113" s="125" t="s">
        <v>13</v>
      </c>
      <c r="AA113" s="460" t="s">
        <v>20</v>
      </c>
      <c r="AB113" s="461">
        <f t="shared" si="259"/>
        <v>2</v>
      </c>
      <c r="AC113" s="125" t="s">
        <v>33</v>
      </c>
      <c r="AD113" s="462" t="str">
        <f t="shared" ref="AD113" si="320">IFERROR(ROUNDDOWN(ROUND(L113*Q113,0),0)*AB113,"")</f>
        <v/>
      </c>
      <c r="AE113" s="463" t="str">
        <f t="shared" ref="AE113" si="321">IFERROR(ROUNDDOWN(ROUND(L113*(Q113-O113),0),0)*AB113,"")</f>
        <v/>
      </c>
      <c r="AF113" s="464"/>
      <c r="AG113" s="374"/>
      <c r="AH113" s="382"/>
      <c r="AI113" s="379"/>
      <c r="AJ113" s="380"/>
      <c r="AK113" s="360"/>
      <c r="AL113" s="361"/>
      <c r="AM113" s="465" t="str">
        <f t="shared" ref="AM113" si="322">IF(AO113="","",IF(Q113&lt;O113,"！加算の要件上は問題ありませんが、令和６年３月と比較して４・５月に加算率が下がる計画になっています。",""))</f>
        <v/>
      </c>
      <c r="AO113" s="466" t="str">
        <f>IF(K113&lt;&gt;"","P列・R列に色付け","")</f>
        <v/>
      </c>
      <c r="AP113" s="467" t="str">
        <f>IFERROR(VLOOKUP(K113,【参考】数式用!$AH$2:$AI$34,2,FALSE),"")</f>
        <v/>
      </c>
      <c r="AQ113" s="469" t="str">
        <f>P113&amp;P114&amp;P115</f>
        <v/>
      </c>
      <c r="AR113" s="467" t="str">
        <f t="shared" ref="AR113" si="323">IF(AF115&lt;&gt;0,IF(AG115="○","入力済","未入力"),"")</f>
        <v/>
      </c>
      <c r="AS113" s="468" t="str">
        <f>IF(OR(P113="処遇加算Ⅰ",P113="処遇加算Ⅱ"),IF(OR(AH113="○",AH113="令和６年度中に満たす"),"入力済","未入力"),"")</f>
        <v/>
      </c>
      <c r="AT113" s="469" t="str">
        <f>IF(P113="処遇加算Ⅲ",IF(AI113="○","入力済","未入力"),"")</f>
        <v/>
      </c>
      <c r="AU113" s="467" t="str">
        <f>IF(P113="処遇加算Ⅰ",IF(OR(AJ113="○",AJ113="令和６年度中に満たす"),"入力済","未入力"),"")</f>
        <v/>
      </c>
      <c r="AV113" s="467" t="str">
        <f t="shared" ref="AV113" si="324">IF(OR(P114="特定加算Ⅰ",P114="特定加算Ⅱ"),1,"")</f>
        <v/>
      </c>
      <c r="AW113" s="452" t="str">
        <f>IF(P114="特定加算Ⅰ",IF(AL114="","未入力","入力済"),"")</f>
        <v/>
      </c>
      <c r="AX113" s="452" t="str">
        <f>G113</f>
        <v/>
      </c>
    </row>
    <row r="114" spans="1:50" ht="32.1" customHeight="1">
      <c r="A114" s="1267"/>
      <c r="B114" s="1204"/>
      <c r="C114" s="1204"/>
      <c r="D114" s="1204"/>
      <c r="E114" s="1204"/>
      <c r="F114" s="1204"/>
      <c r="G114" s="1207"/>
      <c r="H114" s="1207"/>
      <c r="I114" s="1207"/>
      <c r="J114" s="1207"/>
      <c r="K114" s="1207"/>
      <c r="L114" s="1210"/>
      <c r="M114" s="470" t="s">
        <v>121</v>
      </c>
      <c r="N114" s="76"/>
      <c r="O114" s="471" t="str">
        <f>IFERROR(VLOOKUP(K113,【参考】数式用!$A$5:$J$37,MATCH(N114,【参考】数式用!$B$4:$J$4,0)+1,0),"")</f>
        <v/>
      </c>
      <c r="P114" s="76"/>
      <c r="Q114" s="471" t="str">
        <f>IFERROR(VLOOKUP(K113,【参考】数式用!$A$5:$J$37,MATCH(P114,【参考】数式用!$B$4:$J$4,0)+1,0),"")</f>
        <v/>
      </c>
      <c r="R114" s="96" t="s">
        <v>15</v>
      </c>
      <c r="S114" s="472">
        <v>6</v>
      </c>
      <c r="T114" s="97" t="s">
        <v>10</v>
      </c>
      <c r="U114" s="58">
        <v>4</v>
      </c>
      <c r="V114" s="97" t="s">
        <v>38</v>
      </c>
      <c r="W114" s="472">
        <v>6</v>
      </c>
      <c r="X114" s="97" t="s">
        <v>10</v>
      </c>
      <c r="Y114" s="58">
        <v>5</v>
      </c>
      <c r="Z114" s="97" t="s">
        <v>13</v>
      </c>
      <c r="AA114" s="473" t="s">
        <v>20</v>
      </c>
      <c r="AB114" s="474">
        <f t="shared" si="259"/>
        <v>2</v>
      </c>
      <c r="AC114" s="97" t="s">
        <v>33</v>
      </c>
      <c r="AD114" s="475" t="str">
        <f t="shared" ref="AD114" si="325">IFERROR(ROUNDDOWN(ROUND(L113*Q114,0),0)*AB114,"")</f>
        <v/>
      </c>
      <c r="AE114" s="476" t="str">
        <f t="shared" ref="AE114" si="326">IFERROR(ROUNDDOWN(ROUND(L113*(Q114-O114),0),0)*AB114,"")</f>
        <v/>
      </c>
      <c r="AF114" s="477"/>
      <c r="AG114" s="362"/>
      <c r="AH114" s="363"/>
      <c r="AI114" s="364"/>
      <c r="AJ114" s="365"/>
      <c r="AK114" s="366"/>
      <c r="AL114" s="367"/>
      <c r="AM114" s="478"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79"/>
      <c r="AO114" s="466" t="str">
        <f>IF(K113&lt;&gt;"","P列・R列に色付け","")</f>
        <v/>
      </c>
      <c r="AX114" s="452" t="str">
        <f>G113</f>
        <v/>
      </c>
    </row>
    <row r="115" spans="1:50" ht="32.1" customHeight="1" thickBot="1">
      <c r="A115" s="1268"/>
      <c r="B115" s="1205"/>
      <c r="C115" s="1205"/>
      <c r="D115" s="1205"/>
      <c r="E115" s="1205"/>
      <c r="F115" s="1205"/>
      <c r="G115" s="1208"/>
      <c r="H115" s="1208"/>
      <c r="I115" s="1208"/>
      <c r="J115" s="1208"/>
      <c r="K115" s="1208"/>
      <c r="L115" s="1211"/>
      <c r="M115" s="480" t="s">
        <v>114</v>
      </c>
      <c r="N115" s="79"/>
      <c r="O115" s="481" t="str">
        <f>IFERROR(VLOOKUP(K113,【参考】数式用!$A$5:$J$37,MATCH(N115,【参考】数式用!$B$4:$J$4,0)+1,0),"")</f>
        <v/>
      </c>
      <c r="P115" s="77"/>
      <c r="Q115" s="481" t="str">
        <f>IFERROR(VLOOKUP(K113,【参考】数式用!$A$5:$J$37,MATCH(P115,【参考】数式用!$B$4:$J$4,0)+1,0),"")</f>
        <v/>
      </c>
      <c r="R115" s="482" t="s">
        <v>15</v>
      </c>
      <c r="S115" s="483">
        <v>6</v>
      </c>
      <c r="T115" s="484" t="s">
        <v>10</v>
      </c>
      <c r="U115" s="59">
        <v>4</v>
      </c>
      <c r="V115" s="484" t="s">
        <v>38</v>
      </c>
      <c r="W115" s="483">
        <v>6</v>
      </c>
      <c r="X115" s="484" t="s">
        <v>10</v>
      </c>
      <c r="Y115" s="59">
        <v>5</v>
      </c>
      <c r="Z115" s="484" t="s">
        <v>13</v>
      </c>
      <c r="AA115" s="485" t="s">
        <v>20</v>
      </c>
      <c r="AB115" s="486">
        <f t="shared" si="259"/>
        <v>2</v>
      </c>
      <c r="AC115" s="484" t="s">
        <v>33</v>
      </c>
      <c r="AD115" s="487" t="str">
        <f t="shared" ref="AD115" si="328">IFERROR(ROUNDDOWN(ROUND(L113*Q115,0),0)*AB115,"")</f>
        <v/>
      </c>
      <c r="AE115" s="488" t="str">
        <f t="shared" ref="AE115" si="329">IFERROR(ROUNDDOWN(ROUND(L113*(Q115-O115),0),0)*AB115,"")</f>
        <v/>
      </c>
      <c r="AF115" s="489">
        <f t="shared" si="141"/>
        <v>0</v>
      </c>
      <c r="AG115" s="368"/>
      <c r="AH115" s="369"/>
      <c r="AI115" s="370"/>
      <c r="AJ115" s="371"/>
      <c r="AK115" s="372"/>
      <c r="AL115" s="373"/>
      <c r="AM115" s="490"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1" t="str">
        <f>IF(K113&lt;&gt;"","P列・R列に色付け","")</f>
        <v/>
      </c>
      <c r="AP115" s="492"/>
      <c r="AQ115" s="492"/>
      <c r="AW115" s="493"/>
      <c r="AX115" s="452" t="str">
        <f>G113</f>
        <v/>
      </c>
    </row>
    <row r="116" spans="1:50" ht="32.1" customHeight="1">
      <c r="A116" s="1266">
        <v>35</v>
      </c>
      <c r="B116" s="1203" t="str">
        <f>IF(基本情報入力シート!C88="","",基本情報入力シート!C88)</f>
        <v/>
      </c>
      <c r="C116" s="1203"/>
      <c r="D116" s="1203"/>
      <c r="E116" s="1203"/>
      <c r="F116" s="1203"/>
      <c r="G116" s="1206" t="str">
        <f>IF(基本情報入力シート!M88="","",基本情報入力シート!M88)</f>
        <v/>
      </c>
      <c r="H116" s="1206" t="str">
        <f>IF(基本情報入力シート!R88="","",基本情報入力シート!R88)</f>
        <v/>
      </c>
      <c r="I116" s="1206" t="str">
        <f>IF(基本情報入力シート!W88="","",基本情報入力シート!W88)</f>
        <v/>
      </c>
      <c r="J116" s="1206" t="str">
        <f>IF(基本情報入力シート!X88="","",基本情報入力シート!X88)</f>
        <v/>
      </c>
      <c r="K116" s="1206" t="str">
        <f>IF(基本情報入力シート!Y88="","",基本情報入力シート!Y88)</f>
        <v/>
      </c>
      <c r="L116" s="1209" t="str">
        <f>IF(基本情報入力シート!AB88="","",基本情報入力シート!AB88)</f>
        <v/>
      </c>
      <c r="M116" s="456" t="s">
        <v>132</v>
      </c>
      <c r="N116" s="75"/>
      <c r="O116" s="457" t="str">
        <f>IFERROR(VLOOKUP(K116,【参考】数式用!$A$5:$J$37,MATCH(N116,【参考】数式用!$B$4:$J$4,0)+1,0),"")</f>
        <v/>
      </c>
      <c r="P116" s="75"/>
      <c r="Q116" s="457" t="str">
        <f>IFERROR(VLOOKUP(K116,【参考】数式用!$A$5:$J$37,MATCH(P116,【参考】数式用!$B$4:$J$4,0)+1,0),"")</f>
        <v/>
      </c>
      <c r="R116" s="458" t="s">
        <v>15</v>
      </c>
      <c r="S116" s="459">
        <v>6</v>
      </c>
      <c r="T116" s="125" t="s">
        <v>10</v>
      </c>
      <c r="U116" s="39">
        <v>4</v>
      </c>
      <c r="V116" s="125" t="s">
        <v>38</v>
      </c>
      <c r="W116" s="459">
        <v>6</v>
      </c>
      <c r="X116" s="125" t="s">
        <v>10</v>
      </c>
      <c r="Y116" s="39">
        <v>5</v>
      </c>
      <c r="Z116" s="125" t="s">
        <v>13</v>
      </c>
      <c r="AA116" s="460" t="s">
        <v>20</v>
      </c>
      <c r="AB116" s="461">
        <f t="shared" si="259"/>
        <v>2</v>
      </c>
      <c r="AC116" s="125" t="s">
        <v>33</v>
      </c>
      <c r="AD116" s="462" t="str">
        <f t="shared" ref="AD116" si="331">IFERROR(ROUNDDOWN(ROUND(L116*Q116,0),0)*AB116,"")</f>
        <v/>
      </c>
      <c r="AE116" s="463" t="str">
        <f t="shared" si="272"/>
        <v/>
      </c>
      <c r="AF116" s="464"/>
      <c r="AG116" s="374"/>
      <c r="AH116" s="382"/>
      <c r="AI116" s="379"/>
      <c r="AJ116" s="380"/>
      <c r="AK116" s="360"/>
      <c r="AL116" s="361"/>
      <c r="AM116" s="465" t="str">
        <f t="shared" ref="AM116" si="332">IF(AO116="","",IF(Q116&lt;O116,"！加算の要件上は問題ありませんが、令和６年３月と比較して４・５月に加算率が下がる計画になっています。",""))</f>
        <v/>
      </c>
      <c r="AO116" s="466" t="str">
        <f>IF(K116&lt;&gt;"","P列・R列に色付け","")</f>
        <v/>
      </c>
      <c r="AP116" s="467" t="str">
        <f>IFERROR(VLOOKUP(K116,【参考】数式用!$AH$2:$AI$34,2,FALSE),"")</f>
        <v/>
      </c>
      <c r="AQ116" s="469" t="str">
        <f>P116&amp;P117&amp;P118</f>
        <v/>
      </c>
      <c r="AR116" s="467" t="str">
        <f t="shared" ref="AR116" si="333">IF(AF118&lt;&gt;0,IF(AG118="○","入力済","未入力"),"")</f>
        <v/>
      </c>
      <c r="AS116" s="468" t="str">
        <f>IF(OR(P116="処遇加算Ⅰ",P116="処遇加算Ⅱ"),IF(OR(AH116="○",AH116="令和６年度中に満たす"),"入力済","未入力"),"")</f>
        <v/>
      </c>
      <c r="AT116" s="469" t="str">
        <f>IF(P116="処遇加算Ⅲ",IF(AI116="○","入力済","未入力"),"")</f>
        <v/>
      </c>
      <c r="AU116" s="467" t="str">
        <f>IF(P116="処遇加算Ⅰ",IF(OR(AJ116="○",AJ116="令和６年度中に満たす"),"入力済","未入力"),"")</f>
        <v/>
      </c>
      <c r="AV116" s="467" t="str">
        <f t="shared" ref="AV116" si="334">IF(OR(P117="特定加算Ⅰ",P117="特定加算Ⅱ"),1,"")</f>
        <v/>
      </c>
      <c r="AW116" s="452" t="str">
        <f>IF(P117="特定加算Ⅰ",IF(AL117="","未入力","入力済"),"")</f>
        <v/>
      </c>
      <c r="AX116" s="452" t="str">
        <f>G116</f>
        <v/>
      </c>
    </row>
    <row r="117" spans="1:50" ht="32.1" customHeight="1">
      <c r="A117" s="1267"/>
      <c r="B117" s="1204"/>
      <c r="C117" s="1204"/>
      <c r="D117" s="1204"/>
      <c r="E117" s="1204"/>
      <c r="F117" s="1204"/>
      <c r="G117" s="1207"/>
      <c r="H117" s="1207"/>
      <c r="I117" s="1207"/>
      <c r="J117" s="1207"/>
      <c r="K117" s="1207"/>
      <c r="L117" s="1210"/>
      <c r="M117" s="470" t="s">
        <v>121</v>
      </c>
      <c r="N117" s="76"/>
      <c r="O117" s="471" t="str">
        <f>IFERROR(VLOOKUP(K116,【参考】数式用!$A$5:$J$37,MATCH(N117,【参考】数式用!$B$4:$J$4,0)+1,0),"")</f>
        <v/>
      </c>
      <c r="P117" s="76"/>
      <c r="Q117" s="471" t="str">
        <f>IFERROR(VLOOKUP(K116,【参考】数式用!$A$5:$J$37,MATCH(P117,【参考】数式用!$B$4:$J$4,0)+1,0),"")</f>
        <v/>
      </c>
      <c r="R117" s="96" t="s">
        <v>15</v>
      </c>
      <c r="S117" s="472">
        <v>6</v>
      </c>
      <c r="T117" s="97" t="s">
        <v>10</v>
      </c>
      <c r="U117" s="58">
        <v>4</v>
      </c>
      <c r="V117" s="97" t="s">
        <v>38</v>
      </c>
      <c r="W117" s="472">
        <v>6</v>
      </c>
      <c r="X117" s="97" t="s">
        <v>10</v>
      </c>
      <c r="Y117" s="58">
        <v>5</v>
      </c>
      <c r="Z117" s="97" t="s">
        <v>13</v>
      </c>
      <c r="AA117" s="473" t="s">
        <v>20</v>
      </c>
      <c r="AB117" s="474">
        <f t="shared" si="259"/>
        <v>2</v>
      </c>
      <c r="AC117" s="97" t="s">
        <v>33</v>
      </c>
      <c r="AD117" s="475" t="str">
        <f t="shared" ref="AD117" si="335">IFERROR(ROUNDDOWN(ROUND(L116*Q117,0),0)*AB117,"")</f>
        <v/>
      </c>
      <c r="AE117" s="476" t="str">
        <f t="shared" si="277"/>
        <v/>
      </c>
      <c r="AF117" s="477"/>
      <c r="AG117" s="362"/>
      <c r="AH117" s="363"/>
      <c r="AI117" s="364"/>
      <c r="AJ117" s="365"/>
      <c r="AK117" s="366"/>
      <c r="AL117" s="367"/>
      <c r="AM117" s="478"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79"/>
      <c r="AO117" s="466" t="str">
        <f>IF(K116&lt;&gt;"","P列・R列に色付け","")</f>
        <v/>
      </c>
      <c r="AX117" s="452" t="str">
        <f>G116</f>
        <v/>
      </c>
    </row>
    <row r="118" spans="1:50" ht="32.1" customHeight="1" thickBot="1">
      <c r="A118" s="1268"/>
      <c r="B118" s="1205"/>
      <c r="C118" s="1205"/>
      <c r="D118" s="1205"/>
      <c r="E118" s="1205"/>
      <c r="F118" s="1205"/>
      <c r="G118" s="1208"/>
      <c r="H118" s="1208"/>
      <c r="I118" s="1208"/>
      <c r="J118" s="1208"/>
      <c r="K118" s="1208"/>
      <c r="L118" s="1211"/>
      <c r="M118" s="480" t="s">
        <v>114</v>
      </c>
      <c r="N118" s="79"/>
      <c r="O118" s="481" t="str">
        <f>IFERROR(VLOOKUP(K116,【参考】数式用!$A$5:$J$37,MATCH(N118,【参考】数式用!$B$4:$J$4,0)+1,0),"")</f>
        <v/>
      </c>
      <c r="P118" s="77"/>
      <c r="Q118" s="481" t="str">
        <f>IFERROR(VLOOKUP(K116,【参考】数式用!$A$5:$J$37,MATCH(P118,【参考】数式用!$B$4:$J$4,0)+1,0),"")</f>
        <v/>
      </c>
      <c r="R118" s="482" t="s">
        <v>15</v>
      </c>
      <c r="S118" s="483">
        <v>6</v>
      </c>
      <c r="T118" s="484" t="s">
        <v>10</v>
      </c>
      <c r="U118" s="59">
        <v>4</v>
      </c>
      <c r="V118" s="484" t="s">
        <v>38</v>
      </c>
      <c r="W118" s="483">
        <v>6</v>
      </c>
      <c r="X118" s="484" t="s">
        <v>10</v>
      </c>
      <c r="Y118" s="59">
        <v>5</v>
      </c>
      <c r="Z118" s="484" t="s">
        <v>13</v>
      </c>
      <c r="AA118" s="485" t="s">
        <v>20</v>
      </c>
      <c r="AB118" s="486">
        <f t="shared" si="259"/>
        <v>2</v>
      </c>
      <c r="AC118" s="484" t="s">
        <v>33</v>
      </c>
      <c r="AD118" s="487" t="str">
        <f t="shared" ref="AD118" si="337">IFERROR(ROUNDDOWN(ROUND(L116*Q118,0),0)*AB118,"")</f>
        <v/>
      </c>
      <c r="AE118" s="488" t="str">
        <f t="shared" si="280"/>
        <v/>
      </c>
      <c r="AF118" s="489">
        <f t="shared" si="141"/>
        <v>0</v>
      </c>
      <c r="AG118" s="368"/>
      <c r="AH118" s="369"/>
      <c r="AI118" s="370"/>
      <c r="AJ118" s="371"/>
      <c r="AK118" s="372"/>
      <c r="AL118" s="373"/>
      <c r="AM118" s="490"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1" t="str">
        <f>IF(K116&lt;&gt;"","P列・R列に色付け","")</f>
        <v/>
      </c>
      <c r="AP118" s="492"/>
      <c r="AQ118" s="492"/>
      <c r="AW118" s="493"/>
      <c r="AX118" s="452" t="str">
        <f>G116</f>
        <v/>
      </c>
    </row>
    <row r="119" spans="1:50" ht="32.1" customHeight="1">
      <c r="A119" s="1266">
        <v>36</v>
      </c>
      <c r="B119" s="1203" t="str">
        <f>IF(基本情報入力シート!C89="","",基本情報入力シート!C89)</f>
        <v/>
      </c>
      <c r="C119" s="1203"/>
      <c r="D119" s="1203"/>
      <c r="E119" s="1203"/>
      <c r="F119" s="1203"/>
      <c r="G119" s="1206" t="str">
        <f>IF(基本情報入力シート!M89="","",基本情報入力シート!M89)</f>
        <v/>
      </c>
      <c r="H119" s="1206" t="str">
        <f>IF(基本情報入力シート!R89="","",基本情報入力シート!R89)</f>
        <v/>
      </c>
      <c r="I119" s="1206" t="str">
        <f>IF(基本情報入力シート!W89="","",基本情報入力シート!W89)</f>
        <v/>
      </c>
      <c r="J119" s="1206" t="str">
        <f>IF(基本情報入力シート!X89="","",基本情報入力シート!X89)</f>
        <v/>
      </c>
      <c r="K119" s="1206" t="str">
        <f>IF(基本情報入力シート!Y89="","",基本情報入力シート!Y89)</f>
        <v/>
      </c>
      <c r="L119" s="1209" t="str">
        <f>IF(基本情報入力シート!AB89="","",基本情報入力シート!AB89)</f>
        <v/>
      </c>
      <c r="M119" s="456" t="s">
        <v>132</v>
      </c>
      <c r="N119" s="75"/>
      <c r="O119" s="457" t="str">
        <f>IFERROR(VLOOKUP(K119,【参考】数式用!$A$5:$J$37,MATCH(N119,【参考】数式用!$B$4:$J$4,0)+1,0),"")</f>
        <v/>
      </c>
      <c r="P119" s="75"/>
      <c r="Q119" s="457" t="str">
        <f>IFERROR(VLOOKUP(K119,【参考】数式用!$A$5:$J$37,MATCH(P119,【参考】数式用!$B$4:$J$4,0)+1,0),"")</f>
        <v/>
      </c>
      <c r="R119" s="458" t="s">
        <v>15</v>
      </c>
      <c r="S119" s="459">
        <v>6</v>
      </c>
      <c r="T119" s="125" t="s">
        <v>10</v>
      </c>
      <c r="U119" s="39">
        <v>4</v>
      </c>
      <c r="V119" s="125" t="s">
        <v>38</v>
      </c>
      <c r="W119" s="459">
        <v>6</v>
      </c>
      <c r="X119" s="125" t="s">
        <v>10</v>
      </c>
      <c r="Y119" s="39">
        <v>5</v>
      </c>
      <c r="Z119" s="125" t="s">
        <v>13</v>
      </c>
      <c r="AA119" s="460" t="s">
        <v>20</v>
      </c>
      <c r="AB119" s="461">
        <f t="shared" si="259"/>
        <v>2</v>
      </c>
      <c r="AC119" s="125" t="s">
        <v>33</v>
      </c>
      <c r="AD119" s="462" t="str">
        <f t="shared" ref="AD119" si="339">IFERROR(ROUNDDOWN(ROUND(L119*Q119,0),0)*AB119,"")</f>
        <v/>
      </c>
      <c r="AE119" s="463" t="str">
        <f t="shared" si="283"/>
        <v/>
      </c>
      <c r="AF119" s="464"/>
      <c r="AG119" s="374"/>
      <c r="AH119" s="382"/>
      <c r="AI119" s="379"/>
      <c r="AJ119" s="380"/>
      <c r="AK119" s="360"/>
      <c r="AL119" s="361"/>
      <c r="AM119" s="465" t="str">
        <f t="shared" ref="AM119" si="340">IF(AO119="","",IF(Q119&lt;O119,"！加算の要件上は問題ありませんが、令和６年３月と比較して４・５月に加算率が下がる計画になっています。",""))</f>
        <v/>
      </c>
      <c r="AO119" s="466" t="str">
        <f>IF(K119&lt;&gt;"","P列・R列に色付け","")</f>
        <v/>
      </c>
      <c r="AP119" s="467" t="str">
        <f>IFERROR(VLOOKUP(K119,【参考】数式用!$AH$2:$AI$34,2,FALSE),"")</f>
        <v/>
      </c>
      <c r="AQ119" s="469" t="str">
        <f>P119&amp;P120&amp;P121</f>
        <v/>
      </c>
      <c r="AR119" s="467" t="str">
        <f t="shared" ref="AR119" si="341">IF(AF121&lt;&gt;0,IF(AG121="○","入力済","未入力"),"")</f>
        <v/>
      </c>
      <c r="AS119" s="468" t="str">
        <f>IF(OR(P119="処遇加算Ⅰ",P119="処遇加算Ⅱ"),IF(OR(AH119="○",AH119="令和６年度中に満たす"),"入力済","未入力"),"")</f>
        <v/>
      </c>
      <c r="AT119" s="469" t="str">
        <f>IF(P119="処遇加算Ⅲ",IF(AI119="○","入力済","未入力"),"")</f>
        <v/>
      </c>
      <c r="AU119" s="467" t="str">
        <f>IF(P119="処遇加算Ⅰ",IF(OR(AJ119="○",AJ119="令和６年度中に満たす"),"入力済","未入力"),"")</f>
        <v/>
      </c>
      <c r="AV119" s="467" t="str">
        <f t="shared" ref="AV119" si="342">IF(OR(P120="特定加算Ⅰ",P120="特定加算Ⅱ"),1,"")</f>
        <v/>
      </c>
      <c r="AW119" s="452" t="str">
        <f>IF(P120="特定加算Ⅰ",IF(AL120="","未入力","入力済"),"")</f>
        <v/>
      </c>
      <c r="AX119" s="452" t="str">
        <f>G119</f>
        <v/>
      </c>
    </row>
    <row r="120" spans="1:50" ht="32.1" customHeight="1">
      <c r="A120" s="1267"/>
      <c r="B120" s="1204"/>
      <c r="C120" s="1204"/>
      <c r="D120" s="1204"/>
      <c r="E120" s="1204"/>
      <c r="F120" s="1204"/>
      <c r="G120" s="1207"/>
      <c r="H120" s="1207"/>
      <c r="I120" s="1207"/>
      <c r="J120" s="1207"/>
      <c r="K120" s="1207"/>
      <c r="L120" s="1210"/>
      <c r="M120" s="470" t="s">
        <v>121</v>
      </c>
      <c r="N120" s="76"/>
      <c r="O120" s="471" t="str">
        <f>IFERROR(VLOOKUP(K119,【参考】数式用!$A$5:$J$37,MATCH(N120,【参考】数式用!$B$4:$J$4,0)+1,0),"")</f>
        <v/>
      </c>
      <c r="P120" s="76"/>
      <c r="Q120" s="471" t="str">
        <f>IFERROR(VLOOKUP(K119,【参考】数式用!$A$5:$J$37,MATCH(P120,【参考】数式用!$B$4:$J$4,0)+1,0),"")</f>
        <v/>
      </c>
      <c r="R120" s="96" t="s">
        <v>15</v>
      </c>
      <c r="S120" s="472">
        <v>6</v>
      </c>
      <c r="T120" s="97" t="s">
        <v>10</v>
      </c>
      <c r="U120" s="58">
        <v>4</v>
      </c>
      <c r="V120" s="97" t="s">
        <v>38</v>
      </c>
      <c r="W120" s="472">
        <v>6</v>
      </c>
      <c r="X120" s="97" t="s">
        <v>10</v>
      </c>
      <c r="Y120" s="58">
        <v>5</v>
      </c>
      <c r="Z120" s="97" t="s">
        <v>13</v>
      </c>
      <c r="AA120" s="473" t="s">
        <v>20</v>
      </c>
      <c r="AB120" s="474">
        <f t="shared" si="259"/>
        <v>2</v>
      </c>
      <c r="AC120" s="97" t="s">
        <v>33</v>
      </c>
      <c r="AD120" s="475" t="str">
        <f t="shared" ref="AD120" si="343">IFERROR(ROUNDDOWN(ROUND(L119*Q120,0),0)*AB120,"")</f>
        <v/>
      </c>
      <c r="AE120" s="476" t="str">
        <f t="shared" si="288"/>
        <v/>
      </c>
      <c r="AF120" s="477"/>
      <c r="AG120" s="362"/>
      <c r="AH120" s="363"/>
      <c r="AI120" s="364"/>
      <c r="AJ120" s="365"/>
      <c r="AK120" s="366"/>
      <c r="AL120" s="367"/>
      <c r="AM120" s="478"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79"/>
      <c r="AO120" s="466" t="str">
        <f>IF(K119&lt;&gt;"","P列・R列に色付け","")</f>
        <v/>
      </c>
      <c r="AX120" s="452" t="str">
        <f>G119</f>
        <v/>
      </c>
    </row>
    <row r="121" spans="1:50" ht="32.1" customHeight="1" thickBot="1">
      <c r="A121" s="1268"/>
      <c r="B121" s="1205"/>
      <c r="C121" s="1205"/>
      <c r="D121" s="1205"/>
      <c r="E121" s="1205"/>
      <c r="F121" s="1205"/>
      <c r="G121" s="1208"/>
      <c r="H121" s="1208"/>
      <c r="I121" s="1208"/>
      <c r="J121" s="1208"/>
      <c r="K121" s="1208"/>
      <c r="L121" s="1211"/>
      <c r="M121" s="480" t="s">
        <v>114</v>
      </c>
      <c r="N121" s="79"/>
      <c r="O121" s="481" t="str">
        <f>IFERROR(VLOOKUP(K119,【参考】数式用!$A$5:$J$37,MATCH(N121,【参考】数式用!$B$4:$J$4,0)+1,0),"")</f>
        <v/>
      </c>
      <c r="P121" s="77"/>
      <c r="Q121" s="481" t="str">
        <f>IFERROR(VLOOKUP(K119,【参考】数式用!$A$5:$J$37,MATCH(P121,【参考】数式用!$B$4:$J$4,0)+1,0),"")</f>
        <v/>
      </c>
      <c r="R121" s="482" t="s">
        <v>15</v>
      </c>
      <c r="S121" s="483">
        <v>6</v>
      </c>
      <c r="T121" s="484" t="s">
        <v>10</v>
      </c>
      <c r="U121" s="59">
        <v>4</v>
      </c>
      <c r="V121" s="484" t="s">
        <v>38</v>
      </c>
      <c r="W121" s="483">
        <v>6</v>
      </c>
      <c r="X121" s="484" t="s">
        <v>10</v>
      </c>
      <c r="Y121" s="59">
        <v>5</v>
      </c>
      <c r="Z121" s="484" t="s">
        <v>13</v>
      </c>
      <c r="AA121" s="485" t="s">
        <v>20</v>
      </c>
      <c r="AB121" s="486">
        <f t="shared" si="259"/>
        <v>2</v>
      </c>
      <c r="AC121" s="484" t="s">
        <v>33</v>
      </c>
      <c r="AD121" s="487" t="str">
        <f t="shared" ref="AD121" si="345">IFERROR(ROUNDDOWN(ROUND(L119*Q121,0),0)*AB121,"")</f>
        <v/>
      </c>
      <c r="AE121" s="488" t="str">
        <f t="shared" si="291"/>
        <v/>
      </c>
      <c r="AF121" s="489">
        <f t="shared" ref="AF121:AF184" si="346">IF(AND(N121="ベア加算なし",P121="ベア加算"),AD121,0)</f>
        <v>0</v>
      </c>
      <c r="AG121" s="368"/>
      <c r="AH121" s="369"/>
      <c r="AI121" s="370"/>
      <c r="AJ121" s="371"/>
      <c r="AK121" s="372"/>
      <c r="AL121" s="373"/>
      <c r="AM121" s="490"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1" t="str">
        <f>IF(K119&lt;&gt;"","P列・R列に色付け","")</f>
        <v/>
      </c>
      <c r="AP121" s="492"/>
      <c r="AQ121" s="492"/>
      <c r="AW121" s="493"/>
      <c r="AX121" s="452" t="str">
        <f>G119</f>
        <v/>
      </c>
    </row>
    <row r="122" spans="1:50" ht="32.1" customHeight="1">
      <c r="A122" s="1266">
        <v>37</v>
      </c>
      <c r="B122" s="1203" t="str">
        <f>IF(基本情報入力シート!C90="","",基本情報入力シート!C90)</f>
        <v/>
      </c>
      <c r="C122" s="1203"/>
      <c r="D122" s="1203"/>
      <c r="E122" s="1203"/>
      <c r="F122" s="1203"/>
      <c r="G122" s="1206" t="str">
        <f>IF(基本情報入力シート!M90="","",基本情報入力シート!M90)</f>
        <v/>
      </c>
      <c r="H122" s="1206" t="str">
        <f>IF(基本情報入力シート!R90="","",基本情報入力シート!R90)</f>
        <v/>
      </c>
      <c r="I122" s="1206" t="str">
        <f>IF(基本情報入力シート!W90="","",基本情報入力シート!W90)</f>
        <v/>
      </c>
      <c r="J122" s="1206" t="str">
        <f>IF(基本情報入力シート!X90="","",基本情報入力シート!X90)</f>
        <v/>
      </c>
      <c r="K122" s="1206" t="str">
        <f>IF(基本情報入力シート!Y90="","",基本情報入力シート!Y90)</f>
        <v/>
      </c>
      <c r="L122" s="1209" t="str">
        <f>IF(基本情報入力シート!AB90="","",基本情報入力シート!AB90)</f>
        <v/>
      </c>
      <c r="M122" s="456" t="s">
        <v>132</v>
      </c>
      <c r="N122" s="75"/>
      <c r="O122" s="457" t="str">
        <f>IFERROR(VLOOKUP(K122,【参考】数式用!$A$5:$J$37,MATCH(N122,【参考】数式用!$B$4:$J$4,0)+1,0),"")</f>
        <v/>
      </c>
      <c r="P122" s="75"/>
      <c r="Q122" s="457" t="str">
        <f>IFERROR(VLOOKUP(K122,【参考】数式用!$A$5:$J$37,MATCH(P122,【参考】数式用!$B$4:$J$4,0)+1,0),"")</f>
        <v/>
      </c>
      <c r="R122" s="458" t="s">
        <v>15</v>
      </c>
      <c r="S122" s="459">
        <v>6</v>
      </c>
      <c r="T122" s="125" t="s">
        <v>10</v>
      </c>
      <c r="U122" s="39">
        <v>4</v>
      </c>
      <c r="V122" s="125" t="s">
        <v>38</v>
      </c>
      <c r="W122" s="459">
        <v>6</v>
      </c>
      <c r="X122" s="125" t="s">
        <v>10</v>
      </c>
      <c r="Y122" s="39">
        <v>5</v>
      </c>
      <c r="Z122" s="125" t="s">
        <v>13</v>
      </c>
      <c r="AA122" s="460" t="s">
        <v>20</v>
      </c>
      <c r="AB122" s="461">
        <f t="shared" si="259"/>
        <v>2</v>
      </c>
      <c r="AC122" s="125" t="s">
        <v>33</v>
      </c>
      <c r="AD122" s="462" t="str">
        <f t="shared" ref="AD122" si="348">IFERROR(ROUNDDOWN(ROUND(L122*Q122,0),0)*AB122,"")</f>
        <v/>
      </c>
      <c r="AE122" s="463" t="str">
        <f t="shared" ref="AE122" si="349">IFERROR(ROUNDDOWN(ROUND(L122*(Q122-O122),0),0)*AB122,"")</f>
        <v/>
      </c>
      <c r="AF122" s="464"/>
      <c r="AG122" s="374"/>
      <c r="AH122" s="382"/>
      <c r="AI122" s="379"/>
      <c r="AJ122" s="380"/>
      <c r="AK122" s="360"/>
      <c r="AL122" s="361"/>
      <c r="AM122" s="465" t="str">
        <f t="shared" ref="AM122" si="350">IF(AO122="","",IF(Q122&lt;O122,"！加算の要件上は問題ありませんが、令和６年３月と比較して４・５月に加算率が下がる計画になっています。",""))</f>
        <v/>
      </c>
      <c r="AO122" s="466" t="str">
        <f>IF(K122&lt;&gt;"","P列・R列に色付け","")</f>
        <v/>
      </c>
      <c r="AP122" s="467" t="str">
        <f>IFERROR(VLOOKUP(K122,【参考】数式用!$AH$2:$AI$34,2,FALSE),"")</f>
        <v/>
      </c>
      <c r="AQ122" s="469" t="str">
        <f>P122&amp;P123&amp;P124</f>
        <v/>
      </c>
      <c r="AR122" s="467" t="str">
        <f t="shared" ref="AR122" si="351">IF(AF124&lt;&gt;0,IF(AG124="○","入力済","未入力"),"")</f>
        <v/>
      </c>
      <c r="AS122" s="468" t="str">
        <f>IF(OR(P122="処遇加算Ⅰ",P122="処遇加算Ⅱ"),IF(OR(AH122="○",AH122="令和６年度中に満たす"),"入力済","未入力"),"")</f>
        <v/>
      </c>
      <c r="AT122" s="469" t="str">
        <f>IF(P122="処遇加算Ⅲ",IF(AI122="○","入力済","未入力"),"")</f>
        <v/>
      </c>
      <c r="AU122" s="467" t="str">
        <f>IF(P122="処遇加算Ⅰ",IF(OR(AJ122="○",AJ122="令和６年度中に満たす"),"入力済","未入力"),"")</f>
        <v/>
      </c>
      <c r="AV122" s="467" t="str">
        <f t="shared" ref="AV122" si="352">IF(OR(P123="特定加算Ⅰ",P123="特定加算Ⅱ"),1,"")</f>
        <v/>
      </c>
      <c r="AW122" s="452" t="str">
        <f>IF(P123="特定加算Ⅰ",IF(AL123="","未入力","入力済"),"")</f>
        <v/>
      </c>
      <c r="AX122" s="452" t="str">
        <f>G122</f>
        <v/>
      </c>
    </row>
    <row r="123" spans="1:50" ht="32.1" customHeight="1">
      <c r="A123" s="1267"/>
      <c r="B123" s="1204"/>
      <c r="C123" s="1204"/>
      <c r="D123" s="1204"/>
      <c r="E123" s="1204"/>
      <c r="F123" s="1204"/>
      <c r="G123" s="1207"/>
      <c r="H123" s="1207"/>
      <c r="I123" s="1207"/>
      <c r="J123" s="1207"/>
      <c r="K123" s="1207"/>
      <c r="L123" s="1210"/>
      <c r="M123" s="470" t="s">
        <v>121</v>
      </c>
      <c r="N123" s="76"/>
      <c r="O123" s="471" t="str">
        <f>IFERROR(VLOOKUP(K122,【参考】数式用!$A$5:$J$37,MATCH(N123,【参考】数式用!$B$4:$J$4,0)+1,0),"")</f>
        <v/>
      </c>
      <c r="P123" s="76"/>
      <c r="Q123" s="471" t="str">
        <f>IFERROR(VLOOKUP(K122,【参考】数式用!$A$5:$J$37,MATCH(P123,【参考】数式用!$B$4:$J$4,0)+1,0),"")</f>
        <v/>
      </c>
      <c r="R123" s="96" t="s">
        <v>15</v>
      </c>
      <c r="S123" s="472">
        <v>6</v>
      </c>
      <c r="T123" s="97" t="s">
        <v>10</v>
      </c>
      <c r="U123" s="58">
        <v>4</v>
      </c>
      <c r="V123" s="97" t="s">
        <v>38</v>
      </c>
      <c r="W123" s="472">
        <v>6</v>
      </c>
      <c r="X123" s="97" t="s">
        <v>10</v>
      </c>
      <c r="Y123" s="58">
        <v>5</v>
      </c>
      <c r="Z123" s="97" t="s">
        <v>13</v>
      </c>
      <c r="AA123" s="473" t="s">
        <v>20</v>
      </c>
      <c r="AB123" s="474">
        <f t="shared" si="259"/>
        <v>2</v>
      </c>
      <c r="AC123" s="97" t="s">
        <v>33</v>
      </c>
      <c r="AD123" s="475" t="str">
        <f t="shared" ref="AD123" si="353">IFERROR(ROUNDDOWN(ROUND(L122*Q123,0),0)*AB123,"")</f>
        <v/>
      </c>
      <c r="AE123" s="476" t="str">
        <f t="shared" ref="AE123" si="354">IFERROR(ROUNDDOWN(ROUND(L122*(Q123-O123),0),0)*AB123,"")</f>
        <v/>
      </c>
      <c r="AF123" s="477"/>
      <c r="AG123" s="362"/>
      <c r="AH123" s="363"/>
      <c r="AI123" s="364"/>
      <c r="AJ123" s="365"/>
      <c r="AK123" s="366"/>
      <c r="AL123" s="367"/>
      <c r="AM123" s="478"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79"/>
      <c r="AO123" s="466" t="str">
        <f>IF(K122&lt;&gt;"","P列・R列に色付け","")</f>
        <v/>
      </c>
      <c r="AX123" s="452" t="str">
        <f>G122</f>
        <v/>
      </c>
    </row>
    <row r="124" spans="1:50" ht="32.1" customHeight="1" thickBot="1">
      <c r="A124" s="1268"/>
      <c r="B124" s="1205"/>
      <c r="C124" s="1205"/>
      <c r="D124" s="1205"/>
      <c r="E124" s="1205"/>
      <c r="F124" s="1205"/>
      <c r="G124" s="1208"/>
      <c r="H124" s="1208"/>
      <c r="I124" s="1208"/>
      <c r="J124" s="1208"/>
      <c r="K124" s="1208"/>
      <c r="L124" s="1211"/>
      <c r="M124" s="480" t="s">
        <v>114</v>
      </c>
      <c r="N124" s="79"/>
      <c r="O124" s="481" t="str">
        <f>IFERROR(VLOOKUP(K122,【参考】数式用!$A$5:$J$37,MATCH(N124,【参考】数式用!$B$4:$J$4,0)+1,0),"")</f>
        <v/>
      </c>
      <c r="P124" s="77"/>
      <c r="Q124" s="481" t="str">
        <f>IFERROR(VLOOKUP(K122,【参考】数式用!$A$5:$J$37,MATCH(P124,【参考】数式用!$B$4:$J$4,0)+1,0),"")</f>
        <v/>
      </c>
      <c r="R124" s="482" t="s">
        <v>15</v>
      </c>
      <c r="S124" s="483">
        <v>6</v>
      </c>
      <c r="T124" s="484" t="s">
        <v>10</v>
      </c>
      <c r="U124" s="59">
        <v>4</v>
      </c>
      <c r="V124" s="484" t="s">
        <v>38</v>
      </c>
      <c r="W124" s="483">
        <v>6</v>
      </c>
      <c r="X124" s="484" t="s">
        <v>10</v>
      </c>
      <c r="Y124" s="59">
        <v>5</v>
      </c>
      <c r="Z124" s="484" t="s">
        <v>13</v>
      </c>
      <c r="AA124" s="485" t="s">
        <v>20</v>
      </c>
      <c r="AB124" s="486">
        <f t="shared" si="259"/>
        <v>2</v>
      </c>
      <c r="AC124" s="484" t="s">
        <v>33</v>
      </c>
      <c r="AD124" s="487" t="str">
        <f t="shared" ref="AD124" si="356">IFERROR(ROUNDDOWN(ROUND(L122*Q124,0),0)*AB124,"")</f>
        <v/>
      </c>
      <c r="AE124" s="488" t="str">
        <f t="shared" ref="AE124" si="357">IFERROR(ROUNDDOWN(ROUND(L122*(Q124-O124),0),0)*AB124,"")</f>
        <v/>
      </c>
      <c r="AF124" s="489">
        <f t="shared" si="346"/>
        <v>0</v>
      </c>
      <c r="AG124" s="368"/>
      <c r="AH124" s="369"/>
      <c r="AI124" s="370"/>
      <c r="AJ124" s="371"/>
      <c r="AK124" s="372"/>
      <c r="AL124" s="373"/>
      <c r="AM124" s="490"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1" t="str">
        <f>IF(K122&lt;&gt;"","P列・R列に色付け","")</f>
        <v/>
      </c>
      <c r="AP124" s="492"/>
      <c r="AQ124" s="492"/>
      <c r="AW124" s="493"/>
      <c r="AX124" s="452" t="str">
        <f>G122</f>
        <v/>
      </c>
    </row>
    <row r="125" spans="1:50" ht="32.1" customHeight="1">
      <c r="A125" s="1266">
        <v>38</v>
      </c>
      <c r="B125" s="1203" t="str">
        <f>IF(基本情報入力シート!C91="","",基本情報入力シート!C91)</f>
        <v/>
      </c>
      <c r="C125" s="1203"/>
      <c r="D125" s="1203"/>
      <c r="E125" s="1203"/>
      <c r="F125" s="1203"/>
      <c r="G125" s="1206" t="str">
        <f>IF(基本情報入力シート!M91="","",基本情報入力シート!M91)</f>
        <v/>
      </c>
      <c r="H125" s="1206" t="str">
        <f>IF(基本情報入力シート!R91="","",基本情報入力シート!R91)</f>
        <v/>
      </c>
      <c r="I125" s="1206" t="str">
        <f>IF(基本情報入力シート!W91="","",基本情報入力シート!W91)</f>
        <v/>
      </c>
      <c r="J125" s="1206" t="str">
        <f>IF(基本情報入力シート!X91="","",基本情報入力シート!X91)</f>
        <v/>
      </c>
      <c r="K125" s="1206" t="str">
        <f>IF(基本情報入力シート!Y91="","",基本情報入力シート!Y91)</f>
        <v/>
      </c>
      <c r="L125" s="1209" t="str">
        <f>IF(基本情報入力シート!AB91="","",基本情報入力シート!AB91)</f>
        <v/>
      </c>
      <c r="M125" s="456" t="s">
        <v>132</v>
      </c>
      <c r="N125" s="75"/>
      <c r="O125" s="457" t="str">
        <f>IFERROR(VLOOKUP(K125,【参考】数式用!$A$5:$J$37,MATCH(N125,【参考】数式用!$B$4:$J$4,0)+1,0),"")</f>
        <v/>
      </c>
      <c r="P125" s="75"/>
      <c r="Q125" s="457" t="str">
        <f>IFERROR(VLOOKUP(K125,【参考】数式用!$A$5:$J$37,MATCH(P125,【参考】数式用!$B$4:$J$4,0)+1,0),"")</f>
        <v/>
      </c>
      <c r="R125" s="458" t="s">
        <v>15</v>
      </c>
      <c r="S125" s="459">
        <v>6</v>
      </c>
      <c r="T125" s="125" t="s">
        <v>10</v>
      </c>
      <c r="U125" s="39">
        <v>4</v>
      </c>
      <c r="V125" s="125" t="s">
        <v>38</v>
      </c>
      <c r="W125" s="459">
        <v>6</v>
      </c>
      <c r="X125" s="125" t="s">
        <v>10</v>
      </c>
      <c r="Y125" s="39">
        <v>5</v>
      </c>
      <c r="Z125" s="125" t="s">
        <v>13</v>
      </c>
      <c r="AA125" s="460" t="s">
        <v>20</v>
      </c>
      <c r="AB125" s="461">
        <f t="shared" si="259"/>
        <v>2</v>
      </c>
      <c r="AC125" s="125" t="s">
        <v>33</v>
      </c>
      <c r="AD125" s="462" t="str">
        <f t="shared" ref="AD125" si="359">IFERROR(ROUNDDOWN(ROUND(L125*Q125,0),0)*AB125,"")</f>
        <v/>
      </c>
      <c r="AE125" s="463" t="str">
        <f t="shared" si="272"/>
        <v/>
      </c>
      <c r="AF125" s="464"/>
      <c r="AG125" s="374"/>
      <c r="AH125" s="382"/>
      <c r="AI125" s="379"/>
      <c r="AJ125" s="380"/>
      <c r="AK125" s="360"/>
      <c r="AL125" s="361"/>
      <c r="AM125" s="465" t="str">
        <f t="shared" ref="AM125" si="360">IF(AO125="","",IF(Q125&lt;O125,"！加算の要件上は問題ありませんが、令和６年３月と比較して４・５月に加算率が下がる計画になっています。",""))</f>
        <v/>
      </c>
      <c r="AO125" s="466" t="str">
        <f>IF(K125&lt;&gt;"","P列・R列に色付け","")</f>
        <v/>
      </c>
      <c r="AP125" s="467" t="str">
        <f>IFERROR(VLOOKUP(K125,【参考】数式用!$AH$2:$AI$34,2,FALSE),"")</f>
        <v/>
      </c>
      <c r="AQ125" s="469" t="str">
        <f>P125&amp;P126&amp;P127</f>
        <v/>
      </c>
      <c r="AR125" s="467" t="str">
        <f t="shared" ref="AR125" si="361">IF(AF127&lt;&gt;0,IF(AG127="○","入力済","未入力"),"")</f>
        <v/>
      </c>
      <c r="AS125" s="468" t="str">
        <f>IF(OR(P125="処遇加算Ⅰ",P125="処遇加算Ⅱ"),IF(OR(AH125="○",AH125="令和６年度中に満たす"),"入力済","未入力"),"")</f>
        <v/>
      </c>
      <c r="AT125" s="469" t="str">
        <f>IF(P125="処遇加算Ⅲ",IF(AI125="○","入力済","未入力"),"")</f>
        <v/>
      </c>
      <c r="AU125" s="467" t="str">
        <f>IF(P125="処遇加算Ⅰ",IF(OR(AJ125="○",AJ125="令和６年度中に満たす"),"入力済","未入力"),"")</f>
        <v/>
      </c>
      <c r="AV125" s="467" t="str">
        <f t="shared" ref="AV125" si="362">IF(OR(P126="特定加算Ⅰ",P126="特定加算Ⅱ"),1,"")</f>
        <v/>
      </c>
      <c r="AW125" s="452" t="str">
        <f>IF(P126="特定加算Ⅰ",IF(AL126="","未入力","入力済"),"")</f>
        <v/>
      </c>
      <c r="AX125" s="452" t="str">
        <f>G125</f>
        <v/>
      </c>
    </row>
    <row r="126" spans="1:50" ht="32.1" customHeight="1">
      <c r="A126" s="1267"/>
      <c r="B126" s="1204"/>
      <c r="C126" s="1204"/>
      <c r="D126" s="1204"/>
      <c r="E126" s="1204"/>
      <c r="F126" s="1204"/>
      <c r="G126" s="1207"/>
      <c r="H126" s="1207"/>
      <c r="I126" s="1207"/>
      <c r="J126" s="1207"/>
      <c r="K126" s="1207"/>
      <c r="L126" s="1210"/>
      <c r="M126" s="470" t="s">
        <v>121</v>
      </c>
      <c r="N126" s="76"/>
      <c r="O126" s="471" t="str">
        <f>IFERROR(VLOOKUP(K125,【参考】数式用!$A$5:$J$37,MATCH(N126,【参考】数式用!$B$4:$J$4,0)+1,0),"")</f>
        <v/>
      </c>
      <c r="P126" s="76"/>
      <c r="Q126" s="471" t="str">
        <f>IFERROR(VLOOKUP(K125,【参考】数式用!$A$5:$J$37,MATCH(P126,【参考】数式用!$B$4:$J$4,0)+1,0),"")</f>
        <v/>
      </c>
      <c r="R126" s="96" t="s">
        <v>15</v>
      </c>
      <c r="S126" s="472">
        <v>6</v>
      </c>
      <c r="T126" s="97" t="s">
        <v>10</v>
      </c>
      <c r="U126" s="58">
        <v>4</v>
      </c>
      <c r="V126" s="97" t="s">
        <v>38</v>
      </c>
      <c r="W126" s="472">
        <v>6</v>
      </c>
      <c r="X126" s="97" t="s">
        <v>10</v>
      </c>
      <c r="Y126" s="58">
        <v>5</v>
      </c>
      <c r="Z126" s="97" t="s">
        <v>13</v>
      </c>
      <c r="AA126" s="473" t="s">
        <v>20</v>
      </c>
      <c r="AB126" s="474">
        <f t="shared" si="259"/>
        <v>2</v>
      </c>
      <c r="AC126" s="97" t="s">
        <v>33</v>
      </c>
      <c r="AD126" s="475" t="str">
        <f t="shared" ref="AD126" si="363">IFERROR(ROUNDDOWN(ROUND(L125*Q126,0),0)*AB126,"")</f>
        <v/>
      </c>
      <c r="AE126" s="476" t="str">
        <f t="shared" si="277"/>
        <v/>
      </c>
      <c r="AF126" s="477"/>
      <c r="AG126" s="362"/>
      <c r="AH126" s="363"/>
      <c r="AI126" s="364"/>
      <c r="AJ126" s="365"/>
      <c r="AK126" s="366"/>
      <c r="AL126" s="367"/>
      <c r="AM126" s="478"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79"/>
      <c r="AO126" s="466" t="str">
        <f>IF(K125&lt;&gt;"","P列・R列に色付け","")</f>
        <v/>
      </c>
      <c r="AX126" s="452" t="str">
        <f>G125</f>
        <v/>
      </c>
    </row>
    <row r="127" spans="1:50" ht="32.1" customHeight="1" thickBot="1">
      <c r="A127" s="1268"/>
      <c r="B127" s="1205"/>
      <c r="C127" s="1205"/>
      <c r="D127" s="1205"/>
      <c r="E127" s="1205"/>
      <c r="F127" s="1205"/>
      <c r="G127" s="1208"/>
      <c r="H127" s="1208"/>
      <c r="I127" s="1208"/>
      <c r="J127" s="1208"/>
      <c r="K127" s="1208"/>
      <c r="L127" s="1211"/>
      <c r="M127" s="480" t="s">
        <v>114</v>
      </c>
      <c r="N127" s="79"/>
      <c r="O127" s="481" t="str">
        <f>IFERROR(VLOOKUP(K125,【参考】数式用!$A$5:$J$37,MATCH(N127,【参考】数式用!$B$4:$J$4,0)+1,0),"")</f>
        <v/>
      </c>
      <c r="P127" s="77"/>
      <c r="Q127" s="481" t="str">
        <f>IFERROR(VLOOKUP(K125,【参考】数式用!$A$5:$J$37,MATCH(P127,【参考】数式用!$B$4:$J$4,0)+1,0),"")</f>
        <v/>
      </c>
      <c r="R127" s="482" t="s">
        <v>15</v>
      </c>
      <c r="S127" s="483">
        <v>6</v>
      </c>
      <c r="T127" s="484" t="s">
        <v>10</v>
      </c>
      <c r="U127" s="59">
        <v>4</v>
      </c>
      <c r="V127" s="484" t="s">
        <v>38</v>
      </c>
      <c r="W127" s="483">
        <v>6</v>
      </c>
      <c r="X127" s="484" t="s">
        <v>10</v>
      </c>
      <c r="Y127" s="59">
        <v>5</v>
      </c>
      <c r="Z127" s="484" t="s">
        <v>13</v>
      </c>
      <c r="AA127" s="485" t="s">
        <v>20</v>
      </c>
      <c r="AB127" s="486">
        <f t="shared" si="259"/>
        <v>2</v>
      </c>
      <c r="AC127" s="484" t="s">
        <v>33</v>
      </c>
      <c r="AD127" s="487" t="str">
        <f t="shared" ref="AD127" si="365">IFERROR(ROUNDDOWN(ROUND(L125*Q127,0),0)*AB127,"")</f>
        <v/>
      </c>
      <c r="AE127" s="488" t="str">
        <f t="shared" si="280"/>
        <v/>
      </c>
      <c r="AF127" s="489">
        <f t="shared" si="346"/>
        <v>0</v>
      </c>
      <c r="AG127" s="368"/>
      <c r="AH127" s="369"/>
      <c r="AI127" s="370"/>
      <c r="AJ127" s="371"/>
      <c r="AK127" s="372"/>
      <c r="AL127" s="373"/>
      <c r="AM127" s="490"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1" t="str">
        <f>IF(K125&lt;&gt;"","P列・R列に色付け","")</f>
        <v/>
      </c>
      <c r="AP127" s="492"/>
      <c r="AQ127" s="492"/>
      <c r="AW127" s="493"/>
      <c r="AX127" s="452" t="str">
        <f>G125</f>
        <v/>
      </c>
    </row>
    <row r="128" spans="1:50" ht="32.1" customHeight="1">
      <c r="A128" s="1266">
        <v>39</v>
      </c>
      <c r="B128" s="1203" t="str">
        <f>IF(基本情報入力シート!C92="","",基本情報入力シート!C92)</f>
        <v/>
      </c>
      <c r="C128" s="1203"/>
      <c r="D128" s="1203"/>
      <c r="E128" s="1203"/>
      <c r="F128" s="1203"/>
      <c r="G128" s="1206" t="str">
        <f>IF(基本情報入力シート!M92="","",基本情報入力シート!M92)</f>
        <v/>
      </c>
      <c r="H128" s="1206" t="str">
        <f>IF(基本情報入力シート!R92="","",基本情報入力シート!R92)</f>
        <v/>
      </c>
      <c r="I128" s="1206" t="str">
        <f>IF(基本情報入力シート!W92="","",基本情報入力シート!W92)</f>
        <v/>
      </c>
      <c r="J128" s="1206" t="str">
        <f>IF(基本情報入力シート!X92="","",基本情報入力シート!X92)</f>
        <v/>
      </c>
      <c r="K128" s="1206" t="str">
        <f>IF(基本情報入力シート!Y92="","",基本情報入力シート!Y92)</f>
        <v/>
      </c>
      <c r="L128" s="1209" t="str">
        <f>IF(基本情報入力シート!AB92="","",基本情報入力シート!AB92)</f>
        <v/>
      </c>
      <c r="M128" s="456" t="s">
        <v>132</v>
      </c>
      <c r="N128" s="75"/>
      <c r="O128" s="457" t="str">
        <f>IFERROR(VLOOKUP(K128,【参考】数式用!$A$5:$J$37,MATCH(N128,【参考】数式用!$B$4:$J$4,0)+1,0),"")</f>
        <v/>
      </c>
      <c r="P128" s="75"/>
      <c r="Q128" s="457" t="str">
        <f>IFERROR(VLOOKUP(K128,【参考】数式用!$A$5:$J$37,MATCH(P128,【参考】数式用!$B$4:$J$4,0)+1,0),"")</f>
        <v/>
      </c>
      <c r="R128" s="458" t="s">
        <v>15</v>
      </c>
      <c r="S128" s="459">
        <v>6</v>
      </c>
      <c r="T128" s="125" t="s">
        <v>10</v>
      </c>
      <c r="U128" s="39">
        <v>4</v>
      </c>
      <c r="V128" s="125" t="s">
        <v>38</v>
      </c>
      <c r="W128" s="459">
        <v>6</v>
      </c>
      <c r="X128" s="125" t="s">
        <v>10</v>
      </c>
      <c r="Y128" s="39">
        <v>5</v>
      </c>
      <c r="Z128" s="125" t="s">
        <v>13</v>
      </c>
      <c r="AA128" s="460" t="s">
        <v>20</v>
      </c>
      <c r="AB128" s="461">
        <f t="shared" si="259"/>
        <v>2</v>
      </c>
      <c r="AC128" s="125" t="s">
        <v>33</v>
      </c>
      <c r="AD128" s="462" t="str">
        <f t="shared" ref="AD128" si="367">IFERROR(ROUNDDOWN(ROUND(L128*Q128,0),0)*AB128,"")</f>
        <v/>
      </c>
      <c r="AE128" s="463" t="str">
        <f t="shared" si="283"/>
        <v/>
      </c>
      <c r="AF128" s="464"/>
      <c r="AG128" s="374"/>
      <c r="AH128" s="382"/>
      <c r="AI128" s="379"/>
      <c r="AJ128" s="380"/>
      <c r="AK128" s="360"/>
      <c r="AL128" s="361"/>
      <c r="AM128" s="465" t="str">
        <f t="shared" ref="AM128" si="368">IF(AO128="","",IF(Q128&lt;O128,"！加算の要件上は問題ありませんが、令和６年３月と比較して４・５月に加算率が下がる計画になっています。",""))</f>
        <v/>
      </c>
      <c r="AO128" s="466" t="str">
        <f>IF(K128&lt;&gt;"","P列・R列に色付け","")</f>
        <v/>
      </c>
      <c r="AP128" s="467" t="str">
        <f>IFERROR(VLOOKUP(K128,【参考】数式用!$AH$2:$AI$34,2,FALSE),"")</f>
        <v/>
      </c>
      <c r="AQ128" s="469" t="str">
        <f>P128&amp;P129&amp;P130</f>
        <v/>
      </c>
      <c r="AR128" s="467" t="str">
        <f t="shared" ref="AR128" si="369">IF(AF130&lt;&gt;0,IF(AG130="○","入力済","未入力"),"")</f>
        <v/>
      </c>
      <c r="AS128" s="468" t="str">
        <f>IF(OR(P128="処遇加算Ⅰ",P128="処遇加算Ⅱ"),IF(OR(AH128="○",AH128="令和６年度中に満たす"),"入力済","未入力"),"")</f>
        <v/>
      </c>
      <c r="AT128" s="469" t="str">
        <f>IF(P128="処遇加算Ⅲ",IF(AI128="○","入力済","未入力"),"")</f>
        <v/>
      </c>
      <c r="AU128" s="467" t="str">
        <f>IF(P128="処遇加算Ⅰ",IF(OR(AJ128="○",AJ128="令和６年度中に満たす"),"入力済","未入力"),"")</f>
        <v/>
      </c>
      <c r="AV128" s="467" t="str">
        <f t="shared" ref="AV128" si="370">IF(OR(P129="特定加算Ⅰ",P129="特定加算Ⅱ"),1,"")</f>
        <v/>
      </c>
      <c r="AW128" s="452" t="str">
        <f>IF(P129="特定加算Ⅰ",IF(AL129="","未入力","入力済"),"")</f>
        <v/>
      </c>
      <c r="AX128" s="452" t="str">
        <f>G128</f>
        <v/>
      </c>
    </row>
    <row r="129" spans="1:50" ht="32.1" customHeight="1">
      <c r="A129" s="1267"/>
      <c r="B129" s="1204"/>
      <c r="C129" s="1204"/>
      <c r="D129" s="1204"/>
      <c r="E129" s="1204"/>
      <c r="F129" s="1204"/>
      <c r="G129" s="1207"/>
      <c r="H129" s="1207"/>
      <c r="I129" s="1207"/>
      <c r="J129" s="1207"/>
      <c r="K129" s="1207"/>
      <c r="L129" s="1210"/>
      <c r="M129" s="470" t="s">
        <v>121</v>
      </c>
      <c r="N129" s="76"/>
      <c r="O129" s="471" t="str">
        <f>IFERROR(VLOOKUP(K128,【参考】数式用!$A$5:$J$37,MATCH(N129,【参考】数式用!$B$4:$J$4,0)+1,0),"")</f>
        <v/>
      </c>
      <c r="P129" s="76"/>
      <c r="Q129" s="471" t="str">
        <f>IFERROR(VLOOKUP(K128,【参考】数式用!$A$5:$J$37,MATCH(P129,【参考】数式用!$B$4:$J$4,0)+1,0),"")</f>
        <v/>
      </c>
      <c r="R129" s="96" t="s">
        <v>15</v>
      </c>
      <c r="S129" s="472">
        <v>6</v>
      </c>
      <c r="T129" s="97" t="s">
        <v>10</v>
      </c>
      <c r="U129" s="58">
        <v>4</v>
      </c>
      <c r="V129" s="97" t="s">
        <v>38</v>
      </c>
      <c r="W129" s="472">
        <v>6</v>
      </c>
      <c r="X129" s="97" t="s">
        <v>10</v>
      </c>
      <c r="Y129" s="58">
        <v>5</v>
      </c>
      <c r="Z129" s="97" t="s">
        <v>13</v>
      </c>
      <c r="AA129" s="473" t="s">
        <v>20</v>
      </c>
      <c r="AB129" s="474">
        <f t="shared" si="259"/>
        <v>2</v>
      </c>
      <c r="AC129" s="97" t="s">
        <v>33</v>
      </c>
      <c r="AD129" s="475" t="str">
        <f t="shared" ref="AD129" si="371">IFERROR(ROUNDDOWN(ROUND(L128*Q129,0),0)*AB129,"")</f>
        <v/>
      </c>
      <c r="AE129" s="476" t="str">
        <f t="shared" si="288"/>
        <v/>
      </c>
      <c r="AF129" s="477"/>
      <c r="AG129" s="362"/>
      <c r="AH129" s="363"/>
      <c r="AI129" s="364"/>
      <c r="AJ129" s="365"/>
      <c r="AK129" s="366"/>
      <c r="AL129" s="367"/>
      <c r="AM129" s="478"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79"/>
      <c r="AO129" s="466" t="str">
        <f>IF(K128&lt;&gt;"","P列・R列に色付け","")</f>
        <v/>
      </c>
      <c r="AX129" s="452" t="str">
        <f>G128</f>
        <v/>
      </c>
    </row>
    <row r="130" spans="1:50" ht="32.1" customHeight="1" thickBot="1">
      <c r="A130" s="1268"/>
      <c r="B130" s="1205"/>
      <c r="C130" s="1205"/>
      <c r="D130" s="1205"/>
      <c r="E130" s="1205"/>
      <c r="F130" s="1205"/>
      <c r="G130" s="1208"/>
      <c r="H130" s="1208"/>
      <c r="I130" s="1208"/>
      <c r="J130" s="1208"/>
      <c r="K130" s="1208"/>
      <c r="L130" s="1211"/>
      <c r="M130" s="480" t="s">
        <v>114</v>
      </c>
      <c r="N130" s="79"/>
      <c r="O130" s="481" t="str">
        <f>IFERROR(VLOOKUP(K128,【参考】数式用!$A$5:$J$37,MATCH(N130,【参考】数式用!$B$4:$J$4,0)+1,0),"")</f>
        <v/>
      </c>
      <c r="P130" s="77"/>
      <c r="Q130" s="481" t="str">
        <f>IFERROR(VLOOKUP(K128,【参考】数式用!$A$5:$J$37,MATCH(P130,【参考】数式用!$B$4:$J$4,0)+1,0),"")</f>
        <v/>
      </c>
      <c r="R130" s="482" t="s">
        <v>15</v>
      </c>
      <c r="S130" s="483">
        <v>6</v>
      </c>
      <c r="T130" s="484" t="s">
        <v>10</v>
      </c>
      <c r="U130" s="59">
        <v>4</v>
      </c>
      <c r="V130" s="484" t="s">
        <v>38</v>
      </c>
      <c r="W130" s="483">
        <v>6</v>
      </c>
      <c r="X130" s="484" t="s">
        <v>10</v>
      </c>
      <c r="Y130" s="59">
        <v>5</v>
      </c>
      <c r="Z130" s="484" t="s">
        <v>13</v>
      </c>
      <c r="AA130" s="485" t="s">
        <v>20</v>
      </c>
      <c r="AB130" s="486">
        <f t="shared" si="259"/>
        <v>2</v>
      </c>
      <c r="AC130" s="484" t="s">
        <v>33</v>
      </c>
      <c r="AD130" s="487" t="str">
        <f t="shared" ref="AD130" si="373">IFERROR(ROUNDDOWN(ROUND(L128*Q130,0),0)*AB130,"")</f>
        <v/>
      </c>
      <c r="AE130" s="488" t="str">
        <f t="shared" si="291"/>
        <v/>
      </c>
      <c r="AF130" s="489">
        <f t="shared" si="346"/>
        <v>0</v>
      </c>
      <c r="AG130" s="368"/>
      <c r="AH130" s="369"/>
      <c r="AI130" s="370"/>
      <c r="AJ130" s="371"/>
      <c r="AK130" s="372"/>
      <c r="AL130" s="373"/>
      <c r="AM130" s="490"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1" t="str">
        <f>IF(K128&lt;&gt;"","P列・R列に色付け","")</f>
        <v/>
      </c>
      <c r="AP130" s="492"/>
      <c r="AQ130" s="492"/>
      <c r="AW130" s="493"/>
      <c r="AX130" s="452" t="str">
        <f>G128</f>
        <v/>
      </c>
    </row>
    <row r="131" spans="1:50" ht="32.1" customHeight="1">
      <c r="A131" s="1266">
        <v>40</v>
      </c>
      <c r="B131" s="1203" t="str">
        <f>IF(基本情報入力シート!C93="","",基本情報入力シート!C93)</f>
        <v/>
      </c>
      <c r="C131" s="1203"/>
      <c r="D131" s="1203"/>
      <c r="E131" s="1203"/>
      <c r="F131" s="1203"/>
      <c r="G131" s="1206" t="str">
        <f>IF(基本情報入力シート!M93="","",基本情報入力シート!M93)</f>
        <v/>
      </c>
      <c r="H131" s="1206" t="str">
        <f>IF(基本情報入力シート!R93="","",基本情報入力シート!R93)</f>
        <v/>
      </c>
      <c r="I131" s="1206" t="str">
        <f>IF(基本情報入力シート!W93="","",基本情報入力シート!W93)</f>
        <v/>
      </c>
      <c r="J131" s="1206" t="str">
        <f>IF(基本情報入力シート!X93="","",基本情報入力シート!X93)</f>
        <v/>
      </c>
      <c r="K131" s="1206" t="str">
        <f>IF(基本情報入力シート!Y93="","",基本情報入力シート!Y93)</f>
        <v/>
      </c>
      <c r="L131" s="1209" t="str">
        <f>IF(基本情報入力シート!AB93="","",基本情報入力シート!AB93)</f>
        <v/>
      </c>
      <c r="M131" s="456" t="s">
        <v>132</v>
      </c>
      <c r="N131" s="75"/>
      <c r="O131" s="457" t="str">
        <f>IFERROR(VLOOKUP(K131,【参考】数式用!$A$5:$J$37,MATCH(N131,【参考】数式用!$B$4:$J$4,0)+1,0),"")</f>
        <v/>
      </c>
      <c r="P131" s="75"/>
      <c r="Q131" s="457" t="str">
        <f>IFERROR(VLOOKUP(K131,【参考】数式用!$A$5:$J$37,MATCH(P131,【参考】数式用!$B$4:$J$4,0)+1,0),"")</f>
        <v/>
      </c>
      <c r="R131" s="458" t="s">
        <v>15</v>
      </c>
      <c r="S131" s="459">
        <v>6</v>
      </c>
      <c r="T131" s="125" t="s">
        <v>10</v>
      </c>
      <c r="U131" s="39">
        <v>4</v>
      </c>
      <c r="V131" s="125" t="s">
        <v>38</v>
      </c>
      <c r="W131" s="459">
        <v>6</v>
      </c>
      <c r="X131" s="125" t="s">
        <v>10</v>
      </c>
      <c r="Y131" s="39">
        <v>5</v>
      </c>
      <c r="Z131" s="125" t="s">
        <v>13</v>
      </c>
      <c r="AA131" s="460" t="s">
        <v>20</v>
      </c>
      <c r="AB131" s="461">
        <f t="shared" si="259"/>
        <v>2</v>
      </c>
      <c r="AC131" s="125" t="s">
        <v>33</v>
      </c>
      <c r="AD131" s="462" t="str">
        <f t="shared" ref="AD131" si="375">IFERROR(ROUNDDOWN(ROUND(L131*Q131,0),0)*AB131,"")</f>
        <v/>
      </c>
      <c r="AE131" s="463" t="str">
        <f t="shared" ref="AE131" si="376">IFERROR(ROUNDDOWN(ROUND(L131*(Q131-O131),0),0)*AB131,"")</f>
        <v/>
      </c>
      <c r="AF131" s="464"/>
      <c r="AG131" s="374"/>
      <c r="AH131" s="382"/>
      <c r="AI131" s="379"/>
      <c r="AJ131" s="380"/>
      <c r="AK131" s="360"/>
      <c r="AL131" s="361"/>
      <c r="AM131" s="465" t="str">
        <f t="shared" ref="AM131" si="377">IF(AO131="","",IF(Q131&lt;O131,"！加算の要件上は問題ありませんが、令和６年３月と比較して４・５月に加算率が下がる計画になっています。",""))</f>
        <v/>
      </c>
      <c r="AO131" s="466" t="str">
        <f>IF(K131&lt;&gt;"","P列・R列に色付け","")</f>
        <v/>
      </c>
      <c r="AP131" s="467" t="str">
        <f>IFERROR(VLOOKUP(K131,【参考】数式用!$AH$2:$AI$34,2,FALSE),"")</f>
        <v/>
      </c>
      <c r="AQ131" s="469" t="str">
        <f>P131&amp;P132&amp;P133</f>
        <v/>
      </c>
      <c r="AR131" s="467" t="str">
        <f t="shared" ref="AR131" si="378">IF(AF133&lt;&gt;0,IF(AG133="○","入力済","未入力"),"")</f>
        <v/>
      </c>
      <c r="AS131" s="468" t="str">
        <f>IF(OR(P131="処遇加算Ⅰ",P131="処遇加算Ⅱ"),IF(OR(AH131="○",AH131="令和６年度中に満たす"),"入力済","未入力"),"")</f>
        <v/>
      </c>
      <c r="AT131" s="469" t="str">
        <f>IF(P131="処遇加算Ⅲ",IF(AI131="○","入力済","未入力"),"")</f>
        <v/>
      </c>
      <c r="AU131" s="467" t="str">
        <f>IF(P131="処遇加算Ⅰ",IF(OR(AJ131="○",AJ131="令和６年度中に満たす"),"入力済","未入力"),"")</f>
        <v/>
      </c>
      <c r="AV131" s="467" t="str">
        <f t="shared" ref="AV131" si="379">IF(OR(P132="特定加算Ⅰ",P132="特定加算Ⅱ"),1,"")</f>
        <v/>
      </c>
      <c r="AW131" s="452" t="str">
        <f>IF(P132="特定加算Ⅰ",IF(AL132="","未入力","入力済"),"")</f>
        <v/>
      </c>
      <c r="AX131" s="452" t="str">
        <f>G131</f>
        <v/>
      </c>
    </row>
    <row r="132" spans="1:50" ht="32.1" customHeight="1">
      <c r="A132" s="1267"/>
      <c r="B132" s="1204"/>
      <c r="C132" s="1204"/>
      <c r="D132" s="1204"/>
      <c r="E132" s="1204"/>
      <c r="F132" s="1204"/>
      <c r="G132" s="1207"/>
      <c r="H132" s="1207"/>
      <c r="I132" s="1207"/>
      <c r="J132" s="1207"/>
      <c r="K132" s="1207"/>
      <c r="L132" s="1210"/>
      <c r="M132" s="470" t="s">
        <v>121</v>
      </c>
      <c r="N132" s="76"/>
      <c r="O132" s="471" t="str">
        <f>IFERROR(VLOOKUP(K131,【参考】数式用!$A$5:$J$37,MATCH(N132,【参考】数式用!$B$4:$J$4,0)+1,0),"")</f>
        <v/>
      </c>
      <c r="P132" s="76"/>
      <c r="Q132" s="471" t="str">
        <f>IFERROR(VLOOKUP(K131,【参考】数式用!$A$5:$J$37,MATCH(P132,【参考】数式用!$B$4:$J$4,0)+1,0),"")</f>
        <v/>
      </c>
      <c r="R132" s="96" t="s">
        <v>15</v>
      </c>
      <c r="S132" s="472">
        <v>6</v>
      </c>
      <c r="T132" s="97" t="s">
        <v>10</v>
      </c>
      <c r="U132" s="58">
        <v>4</v>
      </c>
      <c r="V132" s="97" t="s">
        <v>38</v>
      </c>
      <c r="W132" s="472">
        <v>6</v>
      </c>
      <c r="X132" s="97" t="s">
        <v>10</v>
      </c>
      <c r="Y132" s="58">
        <v>5</v>
      </c>
      <c r="Z132" s="97" t="s">
        <v>13</v>
      </c>
      <c r="AA132" s="473" t="s">
        <v>20</v>
      </c>
      <c r="AB132" s="474">
        <f t="shared" si="259"/>
        <v>2</v>
      </c>
      <c r="AC132" s="97" t="s">
        <v>33</v>
      </c>
      <c r="AD132" s="475" t="str">
        <f t="shared" ref="AD132" si="380">IFERROR(ROUNDDOWN(ROUND(L131*Q132,0),0)*AB132,"")</f>
        <v/>
      </c>
      <c r="AE132" s="476" t="str">
        <f t="shared" ref="AE132" si="381">IFERROR(ROUNDDOWN(ROUND(L131*(Q132-O132),0),0)*AB132,"")</f>
        <v/>
      </c>
      <c r="AF132" s="477"/>
      <c r="AG132" s="362"/>
      <c r="AH132" s="363"/>
      <c r="AI132" s="364"/>
      <c r="AJ132" s="365"/>
      <c r="AK132" s="366"/>
      <c r="AL132" s="367"/>
      <c r="AM132" s="478"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79"/>
      <c r="AO132" s="466" t="str">
        <f>IF(K131&lt;&gt;"","P列・R列に色付け","")</f>
        <v/>
      </c>
      <c r="AX132" s="452" t="str">
        <f>G131</f>
        <v/>
      </c>
    </row>
    <row r="133" spans="1:50" ht="32.1" customHeight="1" thickBot="1">
      <c r="A133" s="1268"/>
      <c r="B133" s="1205"/>
      <c r="C133" s="1205"/>
      <c r="D133" s="1205"/>
      <c r="E133" s="1205"/>
      <c r="F133" s="1205"/>
      <c r="G133" s="1208"/>
      <c r="H133" s="1208"/>
      <c r="I133" s="1208"/>
      <c r="J133" s="1208"/>
      <c r="K133" s="1208"/>
      <c r="L133" s="1211"/>
      <c r="M133" s="480" t="s">
        <v>114</v>
      </c>
      <c r="N133" s="79"/>
      <c r="O133" s="481" t="str">
        <f>IFERROR(VLOOKUP(K131,【参考】数式用!$A$5:$J$37,MATCH(N133,【参考】数式用!$B$4:$J$4,0)+1,0),"")</f>
        <v/>
      </c>
      <c r="P133" s="77"/>
      <c r="Q133" s="481" t="str">
        <f>IFERROR(VLOOKUP(K131,【参考】数式用!$A$5:$J$37,MATCH(P133,【参考】数式用!$B$4:$J$4,0)+1,0),"")</f>
        <v/>
      </c>
      <c r="R133" s="482" t="s">
        <v>15</v>
      </c>
      <c r="S133" s="483">
        <v>6</v>
      </c>
      <c r="T133" s="484" t="s">
        <v>10</v>
      </c>
      <c r="U133" s="59">
        <v>4</v>
      </c>
      <c r="V133" s="484" t="s">
        <v>38</v>
      </c>
      <c r="W133" s="483">
        <v>6</v>
      </c>
      <c r="X133" s="484" t="s">
        <v>10</v>
      </c>
      <c r="Y133" s="59">
        <v>5</v>
      </c>
      <c r="Z133" s="484" t="s">
        <v>13</v>
      </c>
      <c r="AA133" s="485" t="s">
        <v>20</v>
      </c>
      <c r="AB133" s="486">
        <f t="shared" si="259"/>
        <v>2</v>
      </c>
      <c r="AC133" s="484" t="s">
        <v>33</v>
      </c>
      <c r="AD133" s="487" t="str">
        <f t="shared" ref="AD133" si="383">IFERROR(ROUNDDOWN(ROUND(L131*Q133,0),0)*AB133,"")</f>
        <v/>
      </c>
      <c r="AE133" s="488" t="str">
        <f t="shared" ref="AE133" si="384">IFERROR(ROUNDDOWN(ROUND(L131*(Q133-O133),0),0)*AB133,"")</f>
        <v/>
      </c>
      <c r="AF133" s="489">
        <f t="shared" si="346"/>
        <v>0</v>
      </c>
      <c r="AG133" s="368"/>
      <c r="AH133" s="369"/>
      <c r="AI133" s="370"/>
      <c r="AJ133" s="371"/>
      <c r="AK133" s="372"/>
      <c r="AL133" s="373"/>
      <c r="AM133" s="490"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1" t="str">
        <f>IF(K131&lt;&gt;"","P列・R列に色付け","")</f>
        <v/>
      </c>
      <c r="AP133" s="492"/>
      <c r="AQ133" s="492"/>
      <c r="AW133" s="493"/>
      <c r="AX133" s="452" t="str">
        <f>G131</f>
        <v/>
      </c>
    </row>
    <row r="134" spans="1:50" ht="32.1" customHeight="1">
      <c r="A134" s="1266">
        <v>41</v>
      </c>
      <c r="B134" s="1203" t="str">
        <f>IF(基本情報入力シート!C94="","",基本情報入力シート!C94)</f>
        <v/>
      </c>
      <c r="C134" s="1203"/>
      <c r="D134" s="1203"/>
      <c r="E134" s="1203"/>
      <c r="F134" s="1203"/>
      <c r="G134" s="1206" t="str">
        <f>IF(基本情報入力シート!M94="","",基本情報入力シート!M94)</f>
        <v/>
      </c>
      <c r="H134" s="1206" t="str">
        <f>IF(基本情報入力シート!R94="","",基本情報入力シート!R94)</f>
        <v/>
      </c>
      <c r="I134" s="1206" t="str">
        <f>IF(基本情報入力シート!W94="","",基本情報入力シート!W94)</f>
        <v/>
      </c>
      <c r="J134" s="1206" t="str">
        <f>IF(基本情報入力シート!X94="","",基本情報入力シート!X94)</f>
        <v/>
      </c>
      <c r="K134" s="1206" t="str">
        <f>IF(基本情報入力シート!Y94="","",基本情報入力シート!Y94)</f>
        <v/>
      </c>
      <c r="L134" s="1209" t="str">
        <f>IF(基本情報入力シート!AB94="","",基本情報入力シート!AB94)</f>
        <v/>
      </c>
      <c r="M134" s="456" t="s">
        <v>132</v>
      </c>
      <c r="N134" s="75"/>
      <c r="O134" s="457" t="str">
        <f>IFERROR(VLOOKUP(K134,【参考】数式用!$A$5:$J$37,MATCH(N134,【参考】数式用!$B$4:$J$4,0)+1,0),"")</f>
        <v/>
      </c>
      <c r="P134" s="75"/>
      <c r="Q134" s="457" t="str">
        <f>IFERROR(VLOOKUP(K134,【参考】数式用!$A$5:$J$37,MATCH(P134,【参考】数式用!$B$4:$J$4,0)+1,0),"")</f>
        <v/>
      </c>
      <c r="R134" s="458" t="s">
        <v>15</v>
      </c>
      <c r="S134" s="459">
        <v>6</v>
      </c>
      <c r="T134" s="125" t="s">
        <v>10</v>
      </c>
      <c r="U134" s="39">
        <v>4</v>
      </c>
      <c r="V134" s="125" t="s">
        <v>38</v>
      </c>
      <c r="W134" s="459">
        <v>6</v>
      </c>
      <c r="X134" s="125" t="s">
        <v>10</v>
      </c>
      <c r="Y134" s="39">
        <v>5</v>
      </c>
      <c r="Z134" s="125" t="s">
        <v>13</v>
      </c>
      <c r="AA134" s="460" t="s">
        <v>20</v>
      </c>
      <c r="AB134" s="461">
        <f t="shared" si="259"/>
        <v>2</v>
      </c>
      <c r="AC134" s="125" t="s">
        <v>33</v>
      </c>
      <c r="AD134" s="462" t="str">
        <f t="shared" ref="AD134" si="386">IFERROR(ROUNDDOWN(ROUND(L134*Q134,0),0)*AB134,"")</f>
        <v/>
      </c>
      <c r="AE134" s="463" t="str">
        <f>IFERROR(ROUNDDOWN(ROUND(L134*(Q134-O134),0),0)*AB134,"")</f>
        <v/>
      </c>
      <c r="AF134" s="464"/>
      <c r="AG134" s="374"/>
      <c r="AH134" s="382"/>
      <c r="AI134" s="379"/>
      <c r="AJ134" s="380"/>
      <c r="AK134" s="360"/>
      <c r="AL134" s="361"/>
      <c r="AM134" s="465" t="str">
        <f t="shared" ref="AM134" si="387">IF(AO134="","",IF(Q134&lt;O134,"！加算の要件上は問題ありませんが、令和６年３月と比較して４・５月に加算率が下がる計画になっています。",""))</f>
        <v/>
      </c>
      <c r="AO134" s="466" t="str">
        <f>IF(K134&lt;&gt;"","P列・R列に色付け","")</f>
        <v/>
      </c>
      <c r="AP134" s="467" t="str">
        <f>IFERROR(VLOOKUP(K134,【参考】数式用!$AH$2:$AI$34,2,FALSE),"")</f>
        <v/>
      </c>
      <c r="AQ134" s="469" t="str">
        <f>P134&amp;P135&amp;P136</f>
        <v/>
      </c>
      <c r="AR134" s="467" t="str">
        <f t="shared" ref="AR134" si="388">IF(AF136&lt;&gt;0,IF(AG136="○","入力済","未入力"),"")</f>
        <v/>
      </c>
      <c r="AS134" s="468" t="str">
        <f>IF(OR(P134="処遇加算Ⅰ",P134="処遇加算Ⅱ"),IF(OR(AH134="○",AH134="令和６年度中に満たす"),"入力済","未入力"),"")</f>
        <v/>
      </c>
      <c r="AT134" s="469" t="str">
        <f>IF(P134="処遇加算Ⅲ",IF(AI134="○","入力済","未入力"),"")</f>
        <v/>
      </c>
      <c r="AU134" s="467" t="str">
        <f>IF(P134="処遇加算Ⅰ",IF(OR(AJ134="○",AJ134="令和６年度中に満たす"),"入力済","未入力"),"")</f>
        <v/>
      </c>
      <c r="AV134" s="467" t="str">
        <f t="shared" ref="AV134" si="389">IF(OR(P135="特定加算Ⅰ",P135="特定加算Ⅱ"),1,"")</f>
        <v/>
      </c>
      <c r="AW134" s="452" t="str">
        <f>IF(P135="特定加算Ⅰ",IF(AL135="","未入力","入力済"),"")</f>
        <v/>
      </c>
      <c r="AX134" s="452" t="str">
        <f>G134</f>
        <v/>
      </c>
    </row>
    <row r="135" spans="1:50" ht="32.1" customHeight="1">
      <c r="A135" s="1267"/>
      <c r="B135" s="1204"/>
      <c r="C135" s="1204"/>
      <c r="D135" s="1204"/>
      <c r="E135" s="1204"/>
      <c r="F135" s="1204"/>
      <c r="G135" s="1207"/>
      <c r="H135" s="1207"/>
      <c r="I135" s="1207"/>
      <c r="J135" s="1207"/>
      <c r="K135" s="1207"/>
      <c r="L135" s="1210"/>
      <c r="M135" s="470" t="s">
        <v>121</v>
      </c>
      <c r="N135" s="76"/>
      <c r="O135" s="471" t="str">
        <f>IFERROR(VLOOKUP(K134,【参考】数式用!$A$5:$J$37,MATCH(N135,【参考】数式用!$B$4:$J$4,0)+1,0),"")</f>
        <v/>
      </c>
      <c r="P135" s="76"/>
      <c r="Q135" s="471" t="str">
        <f>IFERROR(VLOOKUP(K134,【参考】数式用!$A$5:$J$37,MATCH(P135,【参考】数式用!$B$4:$J$4,0)+1,0),"")</f>
        <v/>
      </c>
      <c r="R135" s="96" t="s">
        <v>15</v>
      </c>
      <c r="S135" s="472">
        <v>6</v>
      </c>
      <c r="T135" s="97" t="s">
        <v>10</v>
      </c>
      <c r="U135" s="58">
        <v>4</v>
      </c>
      <c r="V135" s="97" t="s">
        <v>38</v>
      </c>
      <c r="W135" s="472">
        <v>6</v>
      </c>
      <c r="X135" s="97" t="s">
        <v>10</v>
      </c>
      <c r="Y135" s="58">
        <v>5</v>
      </c>
      <c r="Z135" s="97" t="s">
        <v>13</v>
      </c>
      <c r="AA135" s="473" t="s">
        <v>20</v>
      </c>
      <c r="AB135" s="474">
        <f t="shared" si="259"/>
        <v>2</v>
      </c>
      <c r="AC135" s="97" t="s">
        <v>33</v>
      </c>
      <c r="AD135" s="475" t="str">
        <f t="shared" ref="AD135" si="390">IFERROR(ROUNDDOWN(ROUND(L134*Q135,0),0)*AB135,"")</f>
        <v/>
      </c>
      <c r="AE135" s="476" t="str">
        <f t="shared" si="277"/>
        <v/>
      </c>
      <c r="AF135" s="477"/>
      <c r="AG135" s="362"/>
      <c r="AH135" s="363"/>
      <c r="AI135" s="364"/>
      <c r="AJ135" s="365"/>
      <c r="AK135" s="366"/>
      <c r="AL135" s="367"/>
      <c r="AM135" s="478"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79"/>
      <c r="AO135" s="466" t="str">
        <f>IF(K134&lt;&gt;"","P列・R列に色付け","")</f>
        <v/>
      </c>
      <c r="AX135" s="452" t="str">
        <f>G134</f>
        <v/>
      </c>
    </row>
    <row r="136" spans="1:50" ht="32.1" customHeight="1" thickBot="1">
      <c r="A136" s="1268"/>
      <c r="B136" s="1205"/>
      <c r="C136" s="1205"/>
      <c r="D136" s="1205"/>
      <c r="E136" s="1205"/>
      <c r="F136" s="1205"/>
      <c r="G136" s="1208"/>
      <c r="H136" s="1208"/>
      <c r="I136" s="1208"/>
      <c r="J136" s="1208"/>
      <c r="K136" s="1208"/>
      <c r="L136" s="1211"/>
      <c r="M136" s="480" t="s">
        <v>114</v>
      </c>
      <c r="N136" s="79"/>
      <c r="O136" s="481" t="str">
        <f>IFERROR(VLOOKUP(K134,【参考】数式用!$A$5:$J$37,MATCH(N136,【参考】数式用!$B$4:$J$4,0)+1,0),"")</f>
        <v/>
      </c>
      <c r="P136" s="77"/>
      <c r="Q136" s="481" t="str">
        <f>IFERROR(VLOOKUP(K134,【参考】数式用!$A$5:$J$37,MATCH(P136,【参考】数式用!$B$4:$J$4,0)+1,0),"")</f>
        <v/>
      </c>
      <c r="R136" s="482" t="s">
        <v>15</v>
      </c>
      <c r="S136" s="483">
        <v>6</v>
      </c>
      <c r="T136" s="484" t="s">
        <v>10</v>
      </c>
      <c r="U136" s="59">
        <v>4</v>
      </c>
      <c r="V136" s="484" t="s">
        <v>38</v>
      </c>
      <c r="W136" s="483">
        <v>6</v>
      </c>
      <c r="X136" s="484" t="s">
        <v>10</v>
      </c>
      <c r="Y136" s="59">
        <v>5</v>
      </c>
      <c r="Z136" s="484" t="s">
        <v>13</v>
      </c>
      <c r="AA136" s="485" t="s">
        <v>20</v>
      </c>
      <c r="AB136" s="486">
        <f t="shared" si="259"/>
        <v>2</v>
      </c>
      <c r="AC136" s="484" t="s">
        <v>33</v>
      </c>
      <c r="AD136" s="487" t="str">
        <f t="shared" ref="AD136" si="392">IFERROR(ROUNDDOWN(ROUND(L134*Q136,0),0)*AB136,"")</f>
        <v/>
      </c>
      <c r="AE136" s="488" t="str">
        <f t="shared" si="280"/>
        <v/>
      </c>
      <c r="AF136" s="489">
        <f t="shared" si="346"/>
        <v>0</v>
      </c>
      <c r="AG136" s="368"/>
      <c r="AH136" s="369"/>
      <c r="AI136" s="370"/>
      <c r="AJ136" s="371"/>
      <c r="AK136" s="372"/>
      <c r="AL136" s="373"/>
      <c r="AM136" s="490"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1" t="str">
        <f>IF(K134&lt;&gt;"","P列・R列に色付け","")</f>
        <v/>
      </c>
      <c r="AP136" s="492"/>
      <c r="AQ136" s="492"/>
      <c r="AW136" s="493"/>
      <c r="AX136" s="452" t="str">
        <f>G134</f>
        <v/>
      </c>
    </row>
    <row r="137" spans="1:50" ht="32.1" customHeight="1">
      <c r="A137" s="1266">
        <v>42</v>
      </c>
      <c r="B137" s="1203" t="str">
        <f>IF(基本情報入力シート!C95="","",基本情報入力シート!C95)</f>
        <v/>
      </c>
      <c r="C137" s="1203"/>
      <c r="D137" s="1203"/>
      <c r="E137" s="1203"/>
      <c r="F137" s="1203"/>
      <c r="G137" s="1206" t="str">
        <f>IF(基本情報入力シート!M95="","",基本情報入力シート!M95)</f>
        <v/>
      </c>
      <c r="H137" s="1206" t="str">
        <f>IF(基本情報入力シート!R95="","",基本情報入力シート!R95)</f>
        <v/>
      </c>
      <c r="I137" s="1206" t="str">
        <f>IF(基本情報入力シート!W95="","",基本情報入力シート!W95)</f>
        <v/>
      </c>
      <c r="J137" s="1206" t="str">
        <f>IF(基本情報入力シート!X95="","",基本情報入力シート!X95)</f>
        <v/>
      </c>
      <c r="K137" s="1206" t="str">
        <f>IF(基本情報入力シート!Y95="","",基本情報入力シート!Y95)</f>
        <v/>
      </c>
      <c r="L137" s="1209" t="str">
        <f>IF(基本情報入力シート!AB95="","",基本情報入力シート!AB95)</f>
        <v/>
      </c>
      <c r="M137" s="456" t="s">
        <v>132</v>
      </c>
      <c r="N137" s="75"/>
      <c r="O137" s="457" t="str">
        <f>IFERROR(VLOOKUP(K137,【参考】数式用!$A$5:$J$37,MATCH(N137,【参考】数式用!$B$4:$J$4,0)+1,0),"")</f>
        <v/>
      </c>
      <c r="P137" s="75"/>
      <c r="Q137" s="457" t="str">
        <f>IFERROR(VLOOKUP(K137,【参考】数式用!$A$5:$J$37,MATCH(P137,【参考】数式用!$B$4:$J$4,0)+1,0),"")</f>
        <v/>
      </c>
      <c r="R137" s="458" t="s">
        <v>15</v>
      </c>
      <c r="S137" s="459">
        <v>6</v>
      </c>
      <c r="T137" s="125" t="s">
        <v>10</v>
      </c>
      <c r="U137" s="39">
        <v>4</v>
      </c>
      <c r="V137" s="125" t="s">
        <v>38</v>
      </c>
      <c r="W137" s="459">
        <v>6</v>
      </c>
      <c r="X137" s="125" t="s">
        <v>10</v>
      </c>
      <c r="Y137" s="39">
        <v>5</v>
      </c>
      <c r="Z137" s="125" t="s">
        <v>13</v>
      </c>
      <c r="AA137" s="460" t="s">
        <v>20</v>
      </c>
      <c r="AB137" s="461">
        <f t="shared" si="259"/>
        <v>2</v>
      </c>
      <c r="AC137" s="125" t="s">
        <v>33</v>
      </c>
      <c r="AD137" s="462" t="str">
        <f t="shared" ref="AD137" si="394">IFERROR(ROUNDDOWN(ROUND(L137*Q137,0),0)*AB137,"")</f>
        <v/>
      </c>
      <c r="AE137" s="463" t="str">
        <f t="shared" si="283"/>
        <v/>
      </c>
      <c r="AF137" s="464"/>
      <c r="AG137" s="374"/>
      <c r="AH137" s="382"/>
      <c r="AI137" s="379"/>
      <c r="AJ137" s="380"/>
      <c r="AK137" s="360"/>
      <c r="AL137" s="361"/>
      <c r="AM137" s="465" t="str">
        <f t="shared" ref="AM137" si="395">IF(AO137="","",IF(Q137&lt;O137,"！加算の要件上は問題ありませんが、令和６年３月と比較して４・５月に加算率が下がる計画になっています。",""))</f>
        <v/>
      </c>
      <c r="AO137" s="466" t="str">
        <f>IF(K137&lt;&gt;"","P列・R列に色付け","")</f>
        <v/>
      </c>
      <c r="AP137" s="467" t="str">
        <f>IFERROR(VLOOKUP(K137,【参考】数式用!$AH$2:$AI$34,2,FALSE),"")</f>
        <v/>
      </c>
      <c r="AQ137" s="469" t="str">
        <f>P137&amp;P138&amp;P139</f>
        <v/>
      </c>
      <c r="AR137" s="467" t="str">
        <f t="shared" ref="AR137" si="396">IF(AF139&lt;&gt;0,IF(AG139="○","入力済","未入力"),"")</f>
        <v/>
      </c>
      <c r="AS137" s="468" t="str">
        <f>IF(OR(P137="処遇加算Ⅰ",P137="処遇加算Ⅱ"),IF(OR(AH137="○",AH137="令和６年度中に満たす"),"入力済","未入力"),"")</f>
        <v/>
      </c>
      <c r="AT137" s="469" t="str">
        <f>IF(P137="処遇加算Ⅲ",IF(AI137="○","入力済","未入力"),"")</f>
        <v/>
      </c>
      <c r="AU137" s="467" t="str">
        <f>IF(P137="処遇加算Ⅰ",IF(OR(AJ137="○",AJ137="令和６年度中に満たす"),"入力済","未入力"),"")</f>
        <v/>
      </c>
      <c r="AV137" s="467" t="str">
        <f t="shared" ref="AV137" si="397">IF(OR(P138="特定加算Ⅰ",P138="特定加算Ⅱ"),1,"")</f>
        <v/>
      </c>
      <c r="AW137" s="452" t="str">
        <f>IF(P138="特定加算Ⅰ",IF(AL138="","未入力","入力済"),"")</f>
        <v/>
      </c>
      <c r="AX137" s="452" t="str">
        <f>G137</f>
        <v/>
      </c>
    </row>
    <row r="138" spans="1:50" ht="32.1" customHeight="1">
      <c r="A138" s="1267"/>
      <c r="B138" s="1204"/>
      <c r="C138" s="1204"/>
      <c r="D138" s="1204"/>
      <c r="E138" s="1204"/>
      <c r="F138" s="1204"/>
      <c r="G138" s="1207"/>
      <c r="H138" s="1207"/>
      <c r="I138" s="1207"/>
      <c r="J138" s="1207"/>
      <c r="K138" s="1207"/>
      <c r="L138" s="1210"/>
      <c r="M138" s="470" t="s">
        <v>121</v>
      </c>
      <c r="N138" s="76"/>
      <c r="O138" s="471" t="str">
        <f>IFERROR(VLOOKUP(K137,【参考】数式用!$A$5:$J$37,MATCH(N138,【参考】数式用!$B$4:$J$4,0)+1,0),"")</f>
        <v/>
      </c>
      <c r="P138" s="76"/>
      <c r="Q138" s="471" t="str">
        <f>IFERROR(VLOOKUP(K137,【参考】数式用!$A$5:$J$37,MATCH(P138,【参考】数式用!$B$4:$J$4,0)+1,0),"")</f>
        <v/>
      </c>
      <c r="R138" s="96" t="s">
        <v>15</v>
      </c>
      <c r="S138" s="472">
        <v>6</v>
      </c>
      <c r="T138" s="97" t="s">
        <v>10</v>
      </c>
      <c r="U138" s="58">
        <v>4</v>
      </c>
      <c r="V138" s="97" t="s">
        <v>38</v>
      </c>
      <c r="W138" s="472">
        <v>6</v>
      </c>
      <c r="X138" s="97" t="s">
        <v>10</v>
      </c>
      <c r="Y138" s="58">
        <v>5</v>
      </c>
      <c r="Z138" s="97" t="s">
        <v>13</v>
      </c>
      <c r="AA138" s="473" t="s">
        <v>20</v>
      </c>
      <c r="AB138" s="474">
        <f t="shared" si="259"/>
        <v>2</v>
      </c>
      <c r="AC138" s="97" t="s">
        <v>33</v>
      </c>
      <c r="AD138" s="475" t="str">
        <f t="shared" ref="AD138" si="398">IFERROR(ROUNDDOWN(ROUND(L137*Q138,0),0)*AB138,"")</f>
        <v/>
      </c>
      <c r="AE138" s="476" t="str">
        <f t="shared" si="288"/>
        <v/>
      </c>
      <c r="AF138" s="477"/>
      <c r="AG138" s="362"/>
      <c r="AH138" s="363"/>
      <c r="AI138" s="364"/>
      <c r="AJ138" s="365"/>
      <c r="AK138" s="366"/>
      <c r="AL138" s="367"/>
      <c r="AM138" s="478"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79"/>
      <c r="AO138" s="466" t="str">
        <f>IF(K137&lt;&gt;"","P列・R列に色付け","")</f>
        <v/>
      </c>
      <c r="AX138" s="452" t="str">
        <f>G137</f>
        <v/>
      </c>
    </row>
    <row r="139" spans="1:50" ht="32.1" customHeight="1" thickBot="1">
      <c r="A139" s="1268"/>
      <c r="B139" s="1205"/>
      <c r="C139" s="1205"/>
      <c r="D139" s="1205"/>
      <c r="E139" s="1205"/>
      <c r="F139" s="1205"/>
      <c r="G139" s="1208"/>
      <c r="H139" s="1208"/>
      <c r="I139" s="1208"/>
      <c r="J139" s="1208"/>
      <c r="K139" s="1208"/>
      <c r="L139" s="1211"/>
      <c r="M139" s="480" t="s">
        <v>114</v>
      </c>
      <c r="N139" s="79"/>
      <c r="O139" s="481" t="str">
        <f>IFERROR(VLOOKUP(K137,【参考】数式用!$A$5:$J$37,MATCH(N139,【参考】数式用!$B$4:$J$4,0)+1,0),"")</f>
        <v/>
      </c>
      <c r="P139" s="77"/>
      <c r="Q139" s="481" t="str">
        <f>IFERROR(VLOOKUP(K137,【参考】数式用!$A$5:$J$37,MATCH(P139,【参考】数式用!$B$4:$J$4,0)+1,0),"")</f>
        <v/>
      </c>
      <c r="R139" s="482" t="s">
        <v>15</v>
      </c>
      <c r="S139" s="483">
        <v>6</v>
      </c>
      <c r="T139" s="484" t="s">
        <v>10</v>
      </c>
      <c r="U139" s="59">
        <v>4</v>
      </c>
      <c r="V139" s="484" t="s">
        <v>38</v>
      </c>
      <c r="W139" s="483">
        <v>6</v>
      </c>
      <c r="X139" s="484" t="s">
        <v>10</v>
      </c>
      <c r="Y139" s="59">
        <v>5</v>
      </c>
      <c r="Z139" s="484" t="s">
        <v>13</v>
      </c>
      <c r="AA139" s="485" t="s">
        <v>20</v>
      </c>
      <c r="AB139" s="486">
        <f t="shared" si="259"/>
        <v>2</v>
      </c>
      <c r="AC139" s="484" t="s">
        <v>33</v>
      </c>
      <c r="AD139" s="487" t="str">
        <f t="shared" ref="AD139" si="400">IFERROR(ROUNDDOWN(ROUND(L137*Q139,0),0)*AB139,"")</f>
        <v/>
      </c>
      <c r="AE139" s="488" t="str">
        <f t="shared" si="291"/>
        <v/>
      </c>
      <c r="AF139" s="489">
        <f t="shared" si="346"/>
        <v>0</v>
      </c>
      <c r="AG139" s="368"/>
      <c r="AH139" s="369"/>
      <c r="AI139" s="370"/>
      <c r="AJ139" s="371"/>
      <c r="AK139" s="372"/>
      <c r="AL139" s="373"/>
      <c r="AM139" s="490"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1" t="str">
        <f>IF(K137&lt;&gt;"","P列・R列に色付け","")</f>
        <v/>
      </c>
      <c r="AP139" s="492"/>
      <c r="AQ139" s="492"/>
      <c r="AW139" s="493"/>
      <c r="AX139" s="452" t="str">
        <f>G137</f>
        <v/>
      </c>
    </row>
    <row r="140" spans="1:50" ht="32.1" customHeight="1">
      <c r="A140" s="1266">
        <v>43</v>
      </c>
      <c r="B140" s="1203" t="str">
        <f>IF(基本情報入力シート!C96="","",基本情報入力シート!C96)</f>
        <v/>
      </c>
      <c r="C140" s="1203"/>
      <c r="D140" s="1203"/>
      <c r="E140" s="1203"/>
      <c r="F140" s="1203"/>
      <c r="G140" s="1206" t="str">
        <f>IF(基本情報入力シート!M96="","",基本情報入力シート!M96)</f>
        <v/>
      </c>
      <c r="H140" s="1206" t="str">
        <f>IF(基本情報入力シート!R96="","",基本情報入力シート!R96)</f>
        <v/>
      </c>
      <c r="I140" s="1206" t="str">
        <f>IF(基本情報入力シート!W96="","",基本情報入力シート!W96)</f>
        <v/>
      </c>
      <c r="J140" s="1206" t="str">
        <f>IF(基本情報入力シート!X96="","",基本情報入力シート!X96)</f>
        <v/>
      </c>
      <c r="K140" s="1206" t="str">
        <f>IF(基本情報入力シート!Y96="","",基本情報入力シート!Y96)</f>
        <v/>
      </c>
      <c r="L140" s="1209" t="str">
        <f>IF(基本情報入力シート!AB96="","",基本情報入力シート!AB96)</f>
        <v/>
      </c>
      <c r="M140" s="456" t="s">
        <v>132</v>
      </c>
      <c r="N140" s="75"/>
      <c r="O140" s="457" t="str">
        <f>IFERROR(VLOOKUP(K140,【参考】数式用!$A$5:$J$37,MATCH(N140,【参考】数式用!$B$4:$J$4,0)+1,0),"")</f>
        <v/>
      </c>
      <c r="P140" s="75"/>
      <c r="Q140" s="457" t="str">
        <f>IFERROR(VLOOKUP(K140,【参考】数式用!$A$5:$J$37,MATCH(P140,【参考】数式用!$B$4:$J$4,0)+1,0),"")</f>
        <v/>
      </c>
      <c r="R140" s="458" t="s">
        <v>15</v>
      </c>
      <c r="S140" s="459">
        <v>6</v>
      </c>
      <c r="T140" s="125" t="s">
        <v>10</v>
      </c>
      <c r="U140" s="39">
        <v>4</v>
      </c>
      <c r="V140" s="125" t="s">
        <v>38</v>
      </c>
      <c r="W140" s="459">
        <v>6</v>
      </c>
      <c r="X140" s="125" t="s">
        <v>10</v>
      </c>
      <c r="Y140" s="39">
        <v>5</v>
      </c>
      <c r="Z140" s="125" t="s">
        <v>13</v>
      </c>
      <c r="AA140" s="460" t="s">
        <v>20</v>
      </c>
      <c r="AB140" s="461">
        <f t="shared" si="259"/>
        <v>2</v>
      </c>
      <c r="AC140" s="125" t="s">
        <v>33</v>
      </c>
      <c r="AD140" s="462" t="str">
        <f t="shared" ref="AD140" si="402">IFERROR(ROUNDDOWN(ROUND(L140*Q140,0),0)*AB140,"")</f>
        <v/>
      </c>
      <c r="AE140" s="463" t="str">
        <f t="shared" ref="AE140" si="403">IFERROR(ROUNDDOWN(ROUND(L140*(Q140-O140),0),0)*AB140,"")</f>
        <v/>
      </c>
      <c r="AF140" s="464"/>
      <c r="AG140" s="374"/>
      <c r="AH140" s="382"/>
      <c r="AI140" s="379"/>
      <c r="AJ140" s="380"/>
      <c r="AK140" s="360"/>
      <c r="AL140" s="361"/>
      <c r="AM140" s="465" t="str">
        <f t="shared" ref="AM140" si="404">IF(AO140="","",IF(Q140&lt;O140,"！加算の要件上は問題ありませんが、令和６年３月と比較して４・５月に加算率が下がる計画になっています。",""))</f>
        <v/>
      </c>
      <c r="AO140" s="466" t="str">
        <f>IF(K140&lt;&gt;"","P列・R列に色付け","")</f>
        <v/>
      </c>
      <c r="AP140" s="467" t="str">
        <f>IFERROR(VLOOKUP(K140,【参考】数式用!$AH$2:$AI$34,2,FALSE),"")</f>
        <v/>
      </c>
      <c r="AQ140" s="469" t="str">
        <f>P140&amp;P141&amp;P142</f>
        <v/>
      </c>
      <c r="AR140" s="467" t="str">
        <f t="shared" ref="AR140" si="405">IF(AF142&lt;&gt;0,IF(AG142="○","入力済","未入力"),"")</f>
        <v/>
      </c>
      <c r="AS140" s="468" t="str">
        <f>IF(OR(P140="処遇加算Ⅰ",P140="処遇加算Ⅱ"),IF(OR(AH140="○",AH140="令和６年度中に満たす"),"入力済","未入力"),"")</f>
        <v/>
      </c>
      <c r="AT140" s="469" t="str">
        <f>IF(P140="処遇加算Ⅲ",IF(AI140="○","入力済","未入力"),"")</f>
        <v/>
      </c>
      <c r="AU140" s="467" t="str">
        <f>IF(P140="処遇加算Ⅰ",IF(OR(AJ140="○",AJ140="令和６年度中に満たす"),"入力済","未入力"),"")</f>
        <v/>
      </c>
      <c r="AV140" s="467" t="str">
        <f t="shared" ref="AV140" si="406">IF(OR(P141="特定加算Ⅰ",P141="特定加算Ⅱ"),1,"")</f>
        <v/>
      </c>
      <c r="AW140" s="452" t="str">
        <f>IF(P141="特定加算Ⅰ",IF(AL141="","未入力","入力済"),"")</f>
        <v/>
      </c>
      <c r="AX140" s="452" t="str">
        <f>G140</f>
        <v/>
      </c>
    </row>
    <row r="141" spans="1:50" ht="32.1" customHeight="1">
      <c r="A141" s="1267"/>
      <c r="B141" s="1204"/>
      <c r="C141" s="1204"/>
      <c r="D141" s="1204"/>
      <c r="E141" s="1204"/>
      <c r="F141" s="1204"/>
      <c r="G141" s="1207"/>
      <c r="H141" s="1207"/>
      <c r="I141" s="1207"/>
      <c r="J141" s="1207"/>
      <c r="K141" s="1207"/>
      <c r="L141" s="1210"/>
      <c r="M141" s="470" t="s">
        <v>121</v>
      </c>
      <c r="N141" s="76"/>
      <c r="O141" s="471" t="str">
        <f>IFERROR(VLOOKUP(K140,【参考】数式用!$A$5:$J$37,MATCH(N141,【参考】数式用!$B$4:$J$4,0)+1,0),"")</f>
        <v/>
      </c>
      <c r="P141" s="76"/>
      <c r="Q141" s="471" t="str">
        <f>IFERROR(VLOOKUP(K140,【参考】数式用!$A$5:$J$37,MATCH(P141,【参考】数式用!$B$4:$J$4,0)+1,0),"")</f>
        <v/>
      </c>
      <c r="R141" s="96" t="s">
        <v>15</v>
      </c>
      <c r="S141" s="472">
        <v>6</v>
      </c>
      <c r="T141" s="97" t="s">
        <v>10</v>
      </c>
      <c r="U141" s="58">
        <v>4</v>
      </c>
      <c r="V141" s="97" t="s">
        <v>38</v>
      </c>
      <c r="W141" s="472">
        <v>6</v>
      </c>
      <c r="X141" s="97" t="s">
        <v>10</v>
      </c>
      <c r="Y141" s="58">
        <v>5</v>
      </c>
      <c r="Z141" s="97" t="s">
        <v>13</v>
      </c>
      <c r="AA141" s="473" t="s">
        <v>20</v>
      </c>
      <c r="AB141" s="474">
        <f t="shared" si="259"/>
        <v>2</v>
      </c>
      <c r="AC141" s="97" t="s">
        <v>33</v>
      </c>
      <c r="AD141" s="475" t="str">
        <f t="shared" ref="AD141" si="407">IFERROR(ROUNDDOWN(ROUND(L140*Q141,0),0)*AB141,"")</f>
        <v/>
      </c>
      <c r="AE141" s="476" t="str">
        <f t="shared" ref="AE141" si="408">IFERROR(ROUNDDOWN(ROUND(L140*(Q141-O141),0),0)*AB141,"")</f>
        <v/>
      </c>
      <c r="AF141" s="477"/>
      <c r="AG141" s="362"/>
      <c r="AH141" s="363"/>
      <c r="AI141" s="364"/>
      <c r="AJ141" s="365"/>
      <c r="AK141" s="366"/>
      <c r="AL141" s="367"/>
      <c r="AM141" s="478"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79"/>
      <c r="AO141" s="466" t="str">
        <f>IF(K140&lt;&gt;"","P列・R列に色付け","")</f>
        <v/>
      </c>
      <c r="AX141" s="452" t="str">
        <f>G140</f>
        <v/>
      </c>
    </row>
    <row r="142" spans="1:50" ht="32.1" customHeight="1" thickBot="1">
      <c r="A142" s="1268"/>
      <c r="B142" s="1205"/>
      <c r="C142" s="1205"/>
      <c r="D142" s="1205"/>
      <c r="E142" s="1205"/>
      <c r="F142" s="1205"/>
      <c r="G142" s="1208"/>
      <c r="H142" s="1208"/>
      <c r="I142" s="1208"/>
      <c r="J142" s="1208"/>
      <c r="K142" s="1208"/>
      <c r="L142" s="1211"/>
      <c r="M142" s="480" t="s">
        <v>114</v>
      </c>
      <c r="N142" s="79"/>
      <c r="O142" s="481" t="str">
        <f>IFERROR(VLOOKUP(K140,【参考】数式用!$A$5:$J$37,MATCH(N142,【参考】数式用!$B$4:$J$4,0)+1,0),"")</f>
        <v/>
      </c>
      <c r="P142" s="77"/>
      <c r="Q142" s="481" t="str">
        <f>IFERROR(VLOOKUP(K140,【参考】数式用!$A$5:$J$37,MATCH(P142,【参考】数式用!$B$4:$J$4,0)+1,0),"")</f>
        <v/>
      </c>
      <c r="R142" s="482" t="s">
        <v>15</v>
      </c>
      <c r="S142" s="483">
        <v>6</v>
      </c>
      <c r="T142" s="484" t="s">
        <v>10</v>
      </c>
      <c r="U142" s="59">
        <v>4</v>
      </c>
      <c r="V142" s="484" t="s">
        <v>38</v>
      </c>
      <c r="W142" s="483">
        <v>6</v>
      </c>
      <c r="X142" s="484" t="s">
        <v>10</v>
      </c>
      <c r="Y142" s="59">
        <v>5</v>
      </c>
      <c r="Z142" s="484" t="s">
        <v>13</v>
      </c>
      <c r="AA142" s="485" t="s">
        <v>20</v>
      </c>
      <c r="AB142" s="486">
        <f t="shared" si="259"/>
        <v>2</v>
      </c>
      <c r="AC142" s="484" t="s">
        <v>33</v>
      </c>
      <c r="AD142" s="487" t="str">
        <f t="shared" ref="AD142" si="410">IFERROR(ROUNDDOWN(ROUND(L140*Q142,0),0)*AB142,"")</f>
        <v/>
      </c>
      <c r="AE142" s="488" t="str">
        <f t="shared" ref="AE142" si="411">IFERROR(ROUNDDOWN(ROUND(L140*(Q142-O142),0),0)*AB142,"")</f>
        <v/>
      </c>
      <c r="AF142" s="489">
        <f t="shared" si="346"/>
        <v>0</v>
      </c>
      <c r="AG142" s="368"/>
      <c r="AH142" s="369"/>
      <c r="AI142" s="370"/>
      <c r="AJ142" s="371"/>
      <c r="AK142" s="372"/>
      <c r="AL142" s="373"/>
      <c r="AM142" s="490"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1" t="str">
        <f>IF(K140&lt;&gt;"","P列・R列に色付け","")</f>
        <v/>
      </c>
      <c r="AP142" s="492"/>
      <c r="AQ142" s="492"/>
      <c r="AW142" s="493"/>
      <c r="AX142" s="452" t="str">
        <f>G140</f>
        <v/>
      </c>
    </row>
    <row r="143" spans="1:50" ht="32.1" customHeight="1">
      <c r="A143" s="1266">
        <v>44</v>
      </c>
      <c r="B143" s="1203" t="str">
        <f>IF(基本情報入力シート!C97="","",基本情報入力シート!C97)</f>
        <v/>
      </c>
      <c r="C143" s="1203"/>
      <c r="D143" s="1203"/>
      <c r="E143" s="1203"/>
      <c r="F143" s="1203"/>
      <c r="G143" s="1206" t="str">
        <f>IF(基本情報入力シート!M97="","",基本情報入力シート!M97)</f>
        <v/>
      </c>
      <c r="H143" s="1206" t="str">
        <f>IF(基本情報入力シート!R97="","",基本情報入力シート!R97)</f>
        <v/>
      </c>
      <c r="I143" s="1206" t="str">
        <f>IF(基本情報入力シート!W97="","",基本情報入力シート!W97)</f>
        <v/>
      </c>
      <c r="J143" s="1206" t="str">
        <f>IF(基本情報入力シート!X97="","",基本情報入力シート!X97)</f>
        <v/>
      </c>
      <c r="K143" s="1206" t="str">
        <f>IF(基本情報入力シート!Y97="","",基本情報入力シート!Y97)</f>
        <v/>
      </c>
      <c r="L143" s="1209" t="str">
        <f>IF(基本情報入力シート!AB97="","",基本情報入力シート!AB97)</f>
        <v/>
      </c>
      <c r="M143" s="456" t="s">
        <v>132</v>
      </c>
      <c r="N143" s="75"/>
      <c r="O143" s="457" t="str">
        <f>IFERROR(VLOOKUP(K143,【参考】数式用!$A$5:$J$37,MATCH(N143,【参考】数式用!$B$4:$J$4,0)+1,0),"")</f>
        <v/>
      </c>
      <c r="P143" s="75"/>
      <c r="Q143" s="457" t="str">
        <f>IFERROR(VLOOKUP(K143,【参考】数式用!$A$5:$J$37,MATCH(P143,【参考】数式用!$B$4:$J$4,0)+1,0),"")</f>
        <v/>
      </c>
      <c r="R143" s="458" t="s">
        <v>15</v>
      </c>
      <c r="S143" s="459">
        <v>6</v>
      </c>
      <c r="T143" s="125" t="s">
        <v>10</v>
      </c>
      <c r="U143" s="39">
        <v>4</v>
      </c>
      <c r="V143" s="125" t="s">
        <v>38</v>
      </c>
      <c r="W143" s="459">
        <v>6</v>
      </c>
      <c r="X143" s="125" t="s">
        <v>10</v>
      </c>
      <c r="Y143" s="39">
        <v>5</v>
      </c>
      <c r="Z143" s="125" t="s">
        <v>13</v>
      </c>
      <c r="AA143" s="460" t="s">
        <v>20</v>
      </c>
      <c r="AB143" s="461">
        <f t="shared" si="259"/>
        <v>2</v>
      </c>
      <c r="AC143" s="125" t="s">
        <v>33</v>
      </c>
      <c r="AD143" s="462" t="str">
        <f t="shared" ref="AD143" si="413">IFERROR(ROUNDDOWN(ROUND(L143*Q143,0),0)*AB143,"")</f>
        <v/>
      </c>
      <c r="AE143" s="463" t="str">
        <f t="shared" si="272"/>
        <v/>
      </c>
      <c r="AF143" s="464"/>
      <c r="AG143" s="374"/>
      <c r="AH143" s="382"/>
      <c r="AI143" s="379"/>
      <c r="AJ143" s="380"/>
      <c r="AK143" s="360"/>
      <c r="AL143" s="361"/>
      <c r="AM143" s="465" t="str">
        <f t="shared" ref="AM143" si="414">IF(AO143="","",IF(Q143&lt;O143,"！加算の要件上は問題ありませんが、令和６年３月と比較して４・５月に加算率が下がる計画になっています。",""))</f>
        <v/>
      </c>
      <c r="AO143" s="466" t="str">
        <f>IF(K143&lt;&gt;"","P列・R列に色付け","")</f>
        <v/>
      </c>
      <c r="AP143" s="467" t="str">
        <f>IFERROR(VLOOKUP(K143,【参考】数式用!$AH$2:$AI$34,2,FALSE),"")</f>
        <v/>
      </c>
      <c r="AQ143" s="469" t="str">
        <f>P143&amp;P144&amp;P145</f>
        <v/>
      </c>
      <c r="AR143" s="467" t="str">
        <f t="shared" ref="AR143" si="415">IF(AF145&lt;&gt;0,IF(AG145="○","入力済","未入力"),"")</f>
        <v/>
      </c>
      <c r="AS143" s="468" t="str">
        <f>IF(OR(P143="処遇加算Ⅰ",P143="処遇加算Ⅱ"),IF(OR(AH143="○",AH143="令和６年度中に満たす"),"入力済","未入力"),"")</f>
        <v/>
      </c>
      <c r="AT143" s="469" t="str">
        <f>IF(P143="処遇加算Ⅲ",IF(AI143="○","入力済","未入力"),"")</f>
        <v/>
      </c>
      <c r="AU143" s="467" t="str">
        <f>IF(P143="処遇加算Ⅰ",IF(OR(AJ143="○",AJ143="令和６年度中に満たす"),"入力済","未入力"),"")</f>
        <v/>
      </c>
      <c r="AV143" s="467" t="str">
        <f t="shared" ref="AV143" si="416">IF(OR(P144="特定加算Ⅰ",P144="特定加算Ⅱ"),1,"")</f>
        <v/>
      </c>
      <c r="AW143" s="452" t="str">
        <f>IF(P144="特定加算Ⅰ",IF(AL144="","未入力","入力済"),"")</f>
        <v/>
      </c>
      <c r="AX143" s="452" t="str">
        <f>G143</f>
        <v/>
      </c>
    </row>
    <row r="144" spans="1:50" ht="32.1" customHeight="1">
      <c r="A144" s="1267"/>
      <c r="B144" s="1204"/>
      <c r="C144" s="1204"/>
      <c r="D144" s="1204"/>
      <c r="E144" s="1204"/>
      <c r="F144" s="1204"/>
      <c r="G144" s="1207"/>
      <c r="H144" s="1207"/>
      <c r="I144" s="1207"/>
      <c r="J144" s="1207"/>
      <c r="K144" s="1207"/>
      <c r="L144" s="1210"/>
      <c r="M144" s="470" t="s">
        <v>121</v>
      </c>
      <c r="N144" s="76"/>
      <c r="O144" s="471" t="str">
        <f>IFERROR(VLOOKUP(K143,【参考】数式用!$A$5:$J$37,MATCH(N144,【参考】数式用!$B$4:$J$4,0)+1,0),"")</f>
        <v/>
      </c>
      <c r="P144" s="76"/>
      <c r="Q144" s="471" t="str">
        <f>IFERROR(VLOOKUP(K143,【参考】数式用!$A$5:$J$37,MATCH(P144,【参考】数式用!$B$4:$J$4,0)+1,0),"")</f>
        <v/>
      </c>
      <c r="R144" s="96" t="s">
        <v>15</v>
      </c>
      <c r="S144" s="472">
        <v>6</v>
      </c>
      <c r="T144" s="97" t="s">
        <v>10</v>
      </c>
      <c r="U144" s="58">
        <v>4</v>
      </c>
      <c r="V144" s="97" t="s">
        <v>38</v>
      </c>
      <c r="W144" s="472">
        <v>6</v>
      </c>
      <c r="X144" s="97" t="s">
        <v>10</v>
      </c>
      <c r="Y144" s="58">
        <v>5</v>
      </c>
      <c r="Z144" s="97" t="s">
        <v>13</v>
      </c>
      <c r="AA144" s="473" t="s">
        <v>20</v>
      </c>
      <c r="AB144" s="474">
        <f t="shared" si="259"/>
        <v>2</v>
      </c>
      <c r="AC144" s="97" t="s">
        <v>33</v>
      </c>
      <c r="AD144" s="475" t="str">
        <f t="shared" ref="AD144" si="417">IFERROR(ROUNDDOWN(ROUND(L143*Q144,0),0)*AB144,"")</f>
        <v/>
      </c>
      <c r="AE144" s="476" t="str">
        <f t="shared" si="277"/>
        <v/>
      </c>
      <c r="AF144" s="477"/>
      <c r="AG144" s="362"/>
      <c r="AH144" s="363"/>
      <c r="AI144" s="364"/>
      <c r="AJ144" s="365"/>
      <c r="AK144" s="366"/>
      <c r="AL144" s="367"/>
      <c r="AM144" s="478"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79"/>
      <c r="AO144" s="466" t="str">
        <f>IF(K143&lt;&gt;"","P列・R列に色付け","")</f>
        <v/>
      </c>
      <c r="AX144" s="452" t="str">
        <f>G143</f>
        <v/>
      </c>
    </row>
    <row r="145" spans="1:50" ht="32.1" customHeight="1" thickBot="1">
      <c r="A145" s="1268"/>
      <c r="B145" s="1205"/>
      <c r="C145" s="1205"/>
      <c r="D145" s="1205"/>
      <c r="E145" s="1205"/>
      <c r="F145" s="1205"/>
      <c r="G145" s="1208"/>
      <c r="H145" s="1208"/>
      <c r="I145" s="1208"/>
      <c r="J145" s="1208"/>
      <c r="K145" s="1208"/>
      <c r="L145" s="1211"/>
      <c r="M145" s="480" t="s">
        <v>114</v>
      </c>
      <c r="N145" s="79"/>
      <c r="O145" s="481" t="str">
        <f>IFERROR(VLOOKUP(K143,【参考】数式用!$A$5:$J$37,MATCH(N145,【参考】数式用!$B$4:$J$4,0)+1,0),"")</f>
        <v/>
      </c>
      <c r="P145" s="77"/>
      <c r="Q145" s="481" t="str">
        <f>IFERROR(VLOOKUP(K143,【参考】数式用!$A$5:$J$37,MATCH(P145,【参考】数式用!$B$4:$J$4,0)+1,0),"")</f>
        <v/>
      </c>
      <c r="R145" s="482" t="s">
        <v>15</v>
      </c>
      <c r="S145" s="483">
        <v>6</v>
      </c>
      <c r="T145" s="484" t="s">
        <v>10</v>
      </c>
      <c r="U145" s="59">
        <v>4</v>
      </c>
      <c r="V145" s="484" t="s">
        <v>38</v>
      </c>
      <c r="W145" s="483">
        <v>6</v>
      </c>
      <c r="X145" s="484" t="s">
        <v>10</v>
      </c>
      <c r="Y145" s="59">
        <v>5</v>
      </c>
      <c r="Z145" s="484" t="s">
        <v>13</v>
      </c>
      <c r="AA145" s="485" t="s">
        <v>20</v>
      </c>
      <c r="AB145" s="486">
        <f t="shared" si="259"/>
        <v>2</v>
      </c>
      <c r="AC145" s="484" t="s">
        <v>33</v>
      </c>
      <c r="AD145" s="487" t="str">
        <f t="shared" ref="AD145" si="419">IFERROR(ROUNDDOWN(ROUND(L143*Q145,0),0)*AB145,"")</f>
        <v/>
      </c>
      <c r="AE145" s="488" t="str">
        <f t="shared" si="280"/>
        <v/>
      </c>
      <c r="AF145" s="489">
        <f t="shared" si="346"/>
        <v>0</v>
      </c>
      <c r="AG145" s="368"/>
      <c r="AH145" s="369"/>
      <c r="AI145" s="370"/>
      <c r="AJ145" s="371"/>
      <c r="AK145" s="372"/>
      <c r="AL145" s="373"/>
      <c r="AM145" s="490"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1" t="str">
        <f>IF(K143&lt;&gt;"","P列・R列に色付け","")</f>
        <v/>
      </c>
      <c r="AP145" s="492"/>
      <c r="AQ145" s="492"/>
      <c r="AW145" s="493"/>
      <c r="AX145" s="452" t="str">
        <f>G143</f>
        <v/>
      </c>
    </row>
    <row r="146" spans="1:50" ht="32.1" customHeight="1">
      <c r="A146" s="1266">
        <v>45</v>
      </c>
      <c r="B146" s="1203" t="str">
        <f>IF(基本情報入力シート!C98="","",基本情報入力シート!C98)</f>
        <v/>
      </c>
      <c r="C146" s="1203"/>
      <c r="D146" s="1203"/>
      <c r="E146" s="1203"/>
      <c r="F146" s="1203"/>
      <c r="G146" s="1206" t="str">
        <f>IF(基本情報入力シート!M98="","",基本情報入力シート!M98)</f>
        <v/>
      </c>
      <c r="H146" s="1206" t="str">
        <f>IF(基本情報入力シート!R98="","",基本情報入力シート!R98)</f>
        <v/>
      </c>
      <c r="I146" s="1206" t="str">
        <f>IF(基本情報入力シート!W98="","",基本情報入力シート!W98)</f>
        <v/>
      </c>
      <c r="J146" s="1206" t="str">
        <f>IF(基本情報入力シート!X98="","",基本情報入力シート!X98)</f>
        <v/>
      </c>
      <c r="K146" s="1206" t="str">
        <f>IF(基本情報入力シート!Y98="","",基本情報入力シート!Y98)</f>
        <v/>
      </c>
      <c r="L146" s="1209" t="str">
        <f>IF(基本情報入力シート!AB98="","",基本情報入力シート!AB98)</f>
        <v/>
      </c>
      <c r="M146" s="456" t="s">
        <v>132</v>
      </c>
      <c r="N146" s="75"/>
      <c r="O146" s="457" t="str">
        <f>IFERROR(VLOOKUP(K146,【参考】数式用!$A$5:$J$37,MATCH(N146,【参考】数式用!$B$4:$J$4,0)+1,0),"")</f>
        <v/>
      </c>
      <c r="P146" s="75"/>
      <c r="Q146" s="457" t="str">
        <f>IFERROR(VLOOKUP(K146,【参考】数式用!$A$5:$J$37,MATCH(P146,【参考】数式用!$B$4:$J$4,0)+1,0),"")</f>
        <v/>
      </c>
      <c r="R146" s="458" t="s">
        <v>15</v>
      </c>
      <c r="S146" s="459">
        <v>6</v>
      </c>
      <c r="T146" s="125" t="s">
        <v>10</v>
      </c>
      <c r="U146" s="39">
        <v>4</v>
      </c>
      <c r="V146" s="125" t="s">
        <v>38</v>
      </c>
      <c r="W146" s="459">
        <v>6</v>
      </c>
      <c r="X146" s="125" t="s">
        <v>10</v>
      </c>
      <c r="Y146" s="39">
        <v>5</v>
      </c>
      <c r="Z146" s="125" t="s">
        <v>13</v>
      </c>
      <c r="AA146" s="460" t="s">
        <v>20</v>
      </c>
      <c r="AB146" s="461">
        <f t="shared" si="259"/>
        <v>2</v>
      </c>
      <c r="AC146" s="125" t="s">
        <v>33</v>
      </c>
      <c r="AD146" s="462" t="str">
        <f t="shared" ref="AD146" si="421">IFERROR(ROUNDDOWN(ROUND(L146*Q146,0),0)*AB146,"")</f>
        <v/>
      </c>
      <c r="AE146" s="463" t="str">
        <f t="shared" si="283"/>
        <v/>
      </c>
      <c r="AF146" s="464"/>
      <c r="AG146" s="374"/>
      <c r="AH146" s="382"/>
      <c r="AI146" s="379"/>
      <c r="AJ146" s="380"/>
      <c r="AK146" s="360"/>
      <c r="AL146" s="361"/>
      <c r="AM146" s="465" t="str">
        <f t="shared" ref="AM146" si="422">IF(AO146="","",IF(Q146&lt;O146,"！加算の要件上は問題ありませんが、令和６年３月と比較して４・５月に加算率が下がる計画になっています。",""))</f>
        <v/>
      </c>
      <c r="AO146" s="466" t="str">
        <f>IF(K146&lt;&gt;"","P列・R列に色付け","")</f>
        <v/>
      </c>
      <c r="AP146" s="467" t="str">
        <f>IFERROR(VLOOKUP(K146,【参考】数式用!$AH$2:$AI$34,2,FALSE),"")</f>
        <v/>
      </c>
      <c r="AQ146" s="469" t="str">
        <f>P146&amp;P147&amp;P148</f>
        <v/>
      </c>
      <c r="AR146" s="467" t="str">
        <f t="shared" ref="AR146" si="423">IF(AF148&lt;&gt;0,IF(AG148="○","入力済","未入力"),"")</f>
        <v/>
      </c>
      <c r="AS146" s="468" t="str">
        <f>IF(OR(P146="処遇加算Ⅰ",P146="処遇加算Ⅱ"),IF(OR(AH146="○",AH146="令和６年度中に満たす"),"入力済","未入力"),"")</f>
        <v/>
      </c>
      <c r="AT146" s="469" t="str">
        <f>IF(P146="処遇加算Ⅲ",IF(AI146="○","入力済","未入力"),"")</f>
        <v/>
      </c>
      <c r="AU146" s="467" t="str">
        <f>IF(P146="処遇加算Ⅰ",IF(OR(AJ146="○",AJ146="令和６年度中に満たす"),"入力済","未入力"),"")</f>
        <v/>
      </c>
      <c r="AV146" s="467" t="str">
        <f t="shared" ref="AV146" si="424">IF(OR(P147="特定加算Ⅰ",P147="特定加算Ⅱ"),1,"")</f>
        <v/>
      </c>
      <c r="AW146" s="452" t="str">
        <f>IF(P147="特定加算Ⅰ",IF(AL147="","未入力","入力済"),"")</f>
        <v/>
      </c>
      <c r="AX146" s="452" t="str">
        <f>G146</f>
        <v/>
      </c>
    </row>
    <row r="147" spans="1:50" ht="32.1" customHeight="1">
      <c r="A147" s="1267"/>
      <c r="B147" s="1204"/>
      <c r="C147" s="1204"/>
      <c r="D147" s="1204"/>
      <c r="E147" s="1204"/>
      <c r="F147" s="1204"/>
      <c r="G147" s="1207"/>
      <c r="H147" s="1207"/>
      <c r="I147" s="1207"/>
      <c r="J147" s="1207"/>
      <c r="K147" s="1207"/>
      <c r="L147" s="1210"/>
      <c r="M147" s="470" t="s">
        <v>121</v>
      </c>
      <c r="N147" s="76"/>
      <c r="O147" s="471" t="str">
        <f>IFERROR(VLOOKUP(K146,【参考】数式用!$A$5:$J$37,MATCH(N147,【参考】数式用!$B$4:$J$4,0)+1,0),"")</f>
        <v/>
      </c>
      <c r="P147" s="76"/>
      <c r="Q147" s="471" t="str">
        <f>IFERROR(VLOOKUP(K146,【参考】数式用!$A$5:$J$37,MATCH(P147,【参考】数式用!$B$4:$J$4,0)+1,0),"")</f>
        <v/>
      </c>
      <c r="R147" s="96" t="s">
        <v>15</v>
      </c>
      <c r="S147" s="472">
        <v>6</v>
      </c>
      <c r="T147" s="97" t="s">
        <v>10</v>
      </c>
      <c r="U147" s="58">
        <v>4</v>
      </c>
      <c r="V147" s="97" t="s">
        <v>38</v>
      </c>
      <c r="W147" s="472">
        <v>6</v>
      </c>
      <c r="X147" s="97" t="s">
        <v>10</v>
      </c>
      <c r="Y147" s="58">
        <v>5</v>
      </c>
      <c r="Z147" s="97" t="s">
        <v>13</v>
      </c>
      <c r="AA147" s="473" t="s">
        <v>20</v>
      </c>
      <c r="AB147" s="474">
        <f t="shared" si="259"/>
        <v>2</v>
      </c>
      <c r="AC147" s="97" t="s">
        <v>33</v>
      </c>
      <c r="AD147" s="475" t="str">
        <f t="shared" ref="AD147" si="425">IFERROR(ROUNDDOWN(ROUND(L146*Q147,0),0)*AB147,"")</f>
        <v/>
      </c>
      <c r="AE147" s="476" t="str">
        <f t="shared" si="288"/>
        <v/>
      </c>
      <c r="AF147" s="477"/>
      <c r="AG147" s="362"/>
      <c r="AH147" s="363"/>
      <c r="AI147" s="364"/>
      <c r="AJ147" s="365"/>
      <c r="AK147" s="366"/>
      <c r="AL147" s="367"/>
      <c r="AM147" s="478"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79"/>
      <c r="AO147" s="466" t="str">
        <f>IF(K146&lt;&gt;"","P列・R列に色付け","")</f>
        <v/>
      </c>
      <c r="AX147" s="452" t="str">
        <f>G146</f>
        <v/>
      </c>
    </row>
    <row r="148" spans="1:50" ht="32.1" customHeight="1" thickBot="1">
      <c r="A148" s="1268"/>
      <c r="B148" s="1205"/>
      <c r="C148" s="1205"/>
      <c r="D148" s="1205"/>
      <c r="E148" s="1205"/>
      <c r="F148" s="1205"/>
      <c r="G148" s="1208"/>
      <c r="H148" s="1208"/>
      <c r="I148" s="1208"/>
      <c r="J148" s="1208"/>
      <c r="K148" s="1208"/>
      <c r="L148" s="1211"/>
      <c r="M148" s="480" t="s">
        <v>114</v>
      </c>
      <c r="N148" s="79"/>
      <c r="O148" s="481" t="str">
        <f>IFERROR(VLOOKUP(K146,【参考】数式用!$A$5:$J$37,MATCH(N148,【参考】数式用!$B$4:$J$4,0)+1,0),"")</f>
        <v/>
      </c>
      <c r="P148" s="77"/>
      <c r="Q148" s="481" t="str">
        <f>IFERROR(VLOOKUP(K146,【参考】数式用!$A$5:$J$37,MATCH(P148,【参考】数式用!$B$4:$J$4,0)+1,0),"")</f>
        <v/>
      </c>
      <c r="R148" s="482" t="s">
        <v>15</v>
      </c>
      <c r="S148" s="483">
        <v>6</v>
      </c>
      <c r="T148" s="484" t="s">
        <v>10</v>
      </c>
      <c r="U148" s="59">
        <v>4</v>
      </c>
      <c r="V148" s="484" t="s">
        <v>38</v>
      </c>
      <c r="W148" s="483">
        <v>6</v>
      </c>
      <c r="X148" s="484" t="s">
        <v>10</v>
      </c>
      <c r="Y148" s="59">
        <v>5</v>
      </c>
      <c r="Z148" s="484" t="s">
        <v>13</v>
      </c>
      <c r="AA148" s="485" t="s">
        <v>20</v>
      </c>
      <c r="AB148" s="486">
        <f t="shared" si="259"/>
        <v>2</v>
      </c>
      <c r="AC148" s="484" t="s">
        <v>33</v>
      </c>
      <c r="AD148" s="487" t="str">
        <f t="shared" ref="AD148" si="427">IFERROR(ROUNDDOWN(ROUND(L146*Q148,0),0)*AB148,"")</f>
        <v/>
      </c>
      <c r="AE148" s="488" t="str">
        <f t="shared" si="291"/>
        <v/>
      </c>
      <c r="AF148" s="489">
        <f t="shared" si="346"/>
        <v>0</v>
      </c>
      <c r="AG148" s="368"/>
      <c r="AH148" s="369"/>
      <c r="AI148" s="370"/>
      <c r="AJ148" s="371"/>
      <c r="AK148" s="372"/>
      <c r="AL148" s="373"/>
      <c r="AM148" s="490"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1" t="str">
        <f>IF(K146&lt;&gt;"","P列・R列に色付け","")</f>
        <v/>
      </c>
      <c r="AP148" s="492"/>
      <c r="AQ148" s="492"/>
      <c r="AW148" s="493"/>
      <c r="AX148" s="452" t="str">
        <f>G146</f>
        <v/>
      </c>
    </row>
    <row r="149" spans="1:50" ht="32.1" customHeight="1">
      <c r="A149" s="1266">
        <v>46</v>
      </c>
      <c r="B149" s="1203" t="str">
        <f>IF(基本情報入力シート!C99="","",基本情報入力シート!C99)</f>
        <v/>
      </c>
      <c r="C149" s="1203"/>
      <c r="D149" s="1203"/>
      <c r="E149" s="1203"/>
      <c r="F149" s="1203"/>
      <c r="G149" s="1206" t="str">
        <f>IF(基本情報入力シート!M99="","",基本情報入力シート!M99)</f>
        <v/>
      </c>
      <c r="H149" s="1206" t="str">
        <f>IF(基本情報入力シート!R99="","",基本情報入力シート!R99)</f>
        <v/>
      </c>
      <c r="I149" s="1206" t="str">
        <f>IF(基本情報入力シート!W99="","",基本情報入力シート!W99)</f>
        <v/>
      </c>
      <c r="J149" s="1206" t="str">
        <f>IF(基本情報入力シート!X99="","",基本情報入力シート!X99)</f>
        <v/>
      </c>
      <c r="K149" s="1206" t="str">
        <f>IF(基本情報入力シート!Y99="","",基本情報入力シート!Y99)</f>
        <v/>
      </c>
      <c r="L149" s="1209" t="str">
        <f>IF(基本情報入力シート!AB99="","",基本情報入力シート!AB99)</f>
        <v/>
      </c>
      <c r="M149" s="456" t="s">
        <v>132</v>
      </c>
      <c r="N149" s="75"/>
      <c r="O149" s="457" t="str">
        <f>IFERROR(VLOOKUP(K149,【参考】数式用!$A$5:$J$37,MATCH(N149,【参考】数式用!$B$4:$J$4,0)+1,0),"")</f>
        <v/>
      </c>
      <c r="P149" s="75"/>
      <c r="Q149" s="457" t="str">
        <f>IFERROR(VLOOKUP(K149,【参考】数式用!$A$5:$J$37,MATCH(P149,【参考】数式用!$B$4:$J$4,0)+1,0),"")</f>
        <v/>
      </c>
      <c r="R149" s="458" t="s">
        <v>15</v>
      </c>
      <c r="S149" s="459">
        <v>6</v>
      </c>
      <c r="T149" s="125" t="s">
        <v>10</v>
      </c>
      <c r="U149" s="39">
        <v>4</v>
      </c>
      <c r="V149" s="125" t="s">
        <v>38</v>
      </c>
      <c r="W149" s="459">
        <v>6</v>
      </c>
      <c r="X149" s="125" t="s">
        <v>10</v>
      </c>
      <c r="Y149" s="39">
        <v>5</v>
      </c>
      <c r="Z149" s="125" t="s">
        <v>13</v>
      </c>
      <c r="AA149" s="460" t="s">
        <v>20</v>
      </c>
      <c r="AB149" s="461">
        <f t="shared" si="259"/>
        <v>2</v>
      </c>
      <c r="AC149" s="125" t="s">
        <v>33</v>
      </c>
      <c r="AD149" s="462" t="str">
        <f t="shared" ref="AD149" si="429">IFERROR(ROUNDDOWN(ROUND(L149*Q149,0),0)*AB149,"")</f>
        <v/>
      </c>
      <c r="AE149" s="463" t="str">
        <f t="shared" ref="AE149" si="430">IFERROR(ROUNDDOWN(ROUND(L149*(Q149-O149),0),0)*AB149,"")</f>
        <v/>
      </c>
      <c r="AF149" s="464"/>
      <c r="AG149" s="374"/>
      <c r="AH149" s="382"/>
      <c r="AI149" s="379"/>
      <c r="AJ149" s="380"/>
      <c r="AK149" s="360"/>
      <c r="AL149" s="361"/>
      <c r="AM149" s="465" t="str">
        <f t="shared" ref="AM149" si="431">IF(AO149="","",IF(Q149&lt;O149,"！加算の要件上は問題ありませんが、令和６年３月と比較して４・５月に加算率が下がる計画になっています。",""))</f>
        <v/>
      </c>
      <c r="AO149" s="466" t="str">
        <f>IF(K149&lt;&gt;"","P列・R列に色付け","")</f>
        <v/>
      </c>
      <c r="AP149" s="467" t="str">
        <f>IFERROR(VLOOKUP(K149,【参考】数式用!$AH$2:$AI$34,2,FALSE),"")</f>
        <v/>
      </c>
      <c r="AQ149" s="469" t="str">
        <f>P149&amp;P150&amp;P151</f>
        <v/>
      </c>
      <c r="AR149" s="467" t="str">
        <f t="shared" ref="AR149" si="432">IF(AF151&lt;&gt;0,IF(AG151="○","入力済","未入力"),"")</f>
        <v/>
      </c>
      <c r="AS149" s="468" t="str">
        <f>IF(OR(P149="処遇加算Ⅰ",P149="処遇加算Ⅱ"),IF(OR(AH149="○",AH149="令和６年度中に満たす"),"入力済","未入力"),"")</f>
        <v/>
      </c>
      <c r="AT149" s="469" t="str">
        <f>IF(P149="処遇加算Ⅲ",IF(AI149="○","入力済","未入力"),"")</f>
        <v/>
      </c>
      <c r="AU149" s="467" t="str">
        <f>IF(P149="処遇加算Ⅰ",IF(OR(AJ149="○",AJ149="令和６年度中に満たす"),"入力済","未入力"),"")</f>
        <v/>
      </c>
      <c r="AV149" s="467" t="str">
        <f t="shared" ref="AV149" si="433">IF(OR(P150="特定加算Ⅰ",P150="特定加算Ⅱ"),1,"")</f>
        <v/>
      </c>
      <c r="AW149" s="452" t="str">
        <f>IF(P150="特定加算Ⅰ",IF(AL150="","未入力","入力済"),"")</f>
        <v/>
      </c>
      <c r="AX149" s="452" t="str">
        <f>G149</f>
        <v/>
      </c>
    </row>
    <row r="150" spans="1:50" ht="32.1" customHeight="1">
      <c r="A150" s="1267"/>
      <c r="B150" s="1204"/>
      <c r="C150" s="1204"/>
      <c r="D150" s="1204"/>
      <c r="E150" s="1204"/>
      <c r="F150" s="1204"/>
      <c r="G150" s="1207"/>
      <c r="H150" s="1207"/>
      <c r="I150" s="1207"/>
      <c r="J150" s="1207"/>
      <c r="K150" s="1207"/>
      <c r="L150" s="1210"/>
      <c r="M150" s="470" t="s">
        <v>121</v>
      </c>
      <c r="N150" s="76"/>
      <c r="O150" s="471" t="str">
        <f>IFERROR(VLOOKUP(K149,【参考】数式用!$A$5:$J$37,MATCH(N150,【参考】数式用!$B$4:$J$4,0)+1,0),"")</f>
        <v/>
      </c>
      <c r="P150" s="76"/>
      <c r="Q150" s="471" t="str">
        <f>IFERROR(VLOOKUP(K149,【参考】数式用!$A$5:$J$37,MATCH(P150,【参考】数式用!$B$4:$J$4,0)+1,0),"")</f>
        <v/>
      </c>
      <c r="R150" s="96" t="s">
        <v>15</v>
      </c>
      <c r="S150" s="472">
        <v>6</v>
      </c>
      <c r="T150" s="97" t="s">
        <v>10</v>
      </c>
      <c r="U150" s="58">
        <v>4</v>
      </c>
      <c r="V150" s="97" t="s">
        <v>38</v>
      </c>
      <c r="W150" s="472">
        <v>6</v>
      </c>
      <c r="X150" s="97" t="s">
        <v>10</v>
      </c>
      <c r="Y150" s="58">
        <v>5</v>
      </c>
      <c r="Z150" s="97" t="s">
        <v>13</v>
      </c>
      <c r="AA150" s="473" t="s">
        <v>20</v>
      </c>
      <c r="AB150" s="474">
        <f t="shared" si="259"/>
        <v>2</v>
      </c>
      <c r="AC150" s="97" t="s">
        <v>33</v>
      </c>
      <c r="AD150" s="475" t="str">
        <f t="shared" ref="AD150" si="434">IFERROR(ROUNDDOWN(ROUND(L149*Q150,0),0)*AB150,"")</f>
        <v/>
      </c>
      <c r="AE150" s="476" t="str">
        <f t="shared" ref="AE150" si="435">IFERROR(ROUNDDOWN(ROUND(L149*(Q150-O150),0),0)*AB150,"")</f>
        <v/>
      </c>
      <c r="AF150" s="477"/>
      <c r="AG150" s="362"/>
      <c r="AH150" s="363"/>
      <c r="AI150" s="364"/>
      <c r="AJ150" s="365"/>
      <c r="AK150" s="366"/>
      <c r="AL150" s="367"/>
      <c r="AM150" s="478"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79"/>
      <c r="AO150" s="466" t="str">
        <f>IF(K149&lt;&gt;"","P列・R列に色付け","")</f>
        <v/>
      </c>
      <c r="AX150" s="452" t="str">
        <f>G149</f>
        <v/>
      </c>
    </row>
    <row r="151" spans="1:50" ht="32.1" customHeight="1" thickBot="1">
      <c r="A151" s="1268"/>
      <c r="B151" s="1205"/>
      <c r="C151" s="1205"/>
      <c r="D151" s="1205"/>
      <c r="E151" s="1205"/>
      <c r="F151" s="1205"/>
      <c r="G151" s="1208"/>
      <c r="H151" s="1208"/>
      <c r="I151" s="1208"/>
      <c r="J151" s="1208"/>
      <c r="K151" s="1208"/>
      <c r="L151" s="1211"/>
      <c r="M151" s="480" t="s">
        <v>114</v>
      </c>
      <c r="N151" s="79"/>
      <c r="O151" s="481" t="str">
        <f>IFERROR(VLOOKUP(K149,【参考】数式用!$A$5:$J$37,MATCH(N151,【参考】数式用!$B$4:$J$4,0)+1,0),"")</f>
        <v/>
      </c>
      <c r="P151" s="77"/>
      <c r="Q151" s="481" t="str">
        <f>IFERROR(VLOOKUP(K149,【参考】数式用!$A$5:$J$37,MATCH(P151,【参考】数式用!$B$4:$J$4,0)+1,0),"")</f>
        <v/>
      </c>
      <c r="R151" s="482" t="s">
        <v>15</v>
      </c>
      <c r="S151" s="483">
        <v>6</v>
      </c>
      <c r="T151" s="484" t="s">
        <v>10</v>
      </c>
      <c r="U151" s="59">
        <v>4</v>
      </c>
      <c r="V151" s="484" t="s">
        <v>38</v>
      </c>
      <c r="W151" s="483">
        <v>6</v>
      </c>
      <c r="X151" s="484" t="s">
        <v>10</v>
      </c>
      <c r="Y151" s="59">
        <v>5</v>
      </c>
      <c r="Z151" s="484" t="s">
        <v>13</v>
      </c>
      <c r="AA151" s="485" t="s">
        <v>20</v>
      </c>
      <c r="AB151" s="486">
        <f t="shared" si="259"/>
        <v>2</v>
      </c>
      <c r="AC151" s="484" t="s">
        <v>33</v>
      </c>
      <c r="AD151" s="487" t="str">
        <f t="shared" ref="AD151" si="437">IFERROR(ROUNDDOWN(ROUND(L149*Q151,0),0)*AB151,"")</f>
        <v/>
      </c>
      <c r="AE151" s="488" t="str">
        <f t="shared" ref="AE151" si="438">IFERROR(ROUNDDOWN(ROUND(L149*(Q151-O151),0),0)*AB151,"")</f>
        <v/>
      </c>
      <c r="AF151" s="489">
        <f t="shared" si="346"/>
        <v>0</v>
      </c>
      <c r="AG151" s="368"/>
      <c r="AH151" s="369"/>
      <c r="AI151" s="370"/>
      <c r="AJ151" s="371"/>
      <c r="AK151" s="372"/>
      <c r="AL151" s="373"/>
      <c r="AM151" s="490"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1" t="str">
        <f>IF(K149&lt;&gt;"","P列・R列に色付け","")</f>
        <v/>
      </c>
      <c r="AP151" s="492"/>
      <c r="AQ151" s="492"/>
      <c r="AW151" s="493"/>
      <c r="AX151" s="452" t="str">
        <f>G149</f>
        <v/>
      </c>
    </row>
    <row r="152" spans="1:50" ht="32.1" customHeight="1">
      <c r="A152" s="1266">
        <v>47</v>
      </c>
      <c r="B152" s="1203" t="str">
        <f>IF(基本情報入力シート!C100="","",基本情報入力シート!C100)</f>
        <v/>
      </c>
      <c r="C152" s="1203"/>
      <c r="D152" s="1203"/>
      <c r="E152" s="1203"/>
      <c r="F152" s="1203"/>
      <c r="G152" s="1206" t="str">
        <f>IF(基本情報入力シート!M100="","",基本情報入力シート!M100)</f>
        <v/>
      </c>
      <c r="H152" s="1206" t="str">
        <f>IF(基本情報入力シート!R100="","",基本情報入力シート!R100)</f>
        <v/>
      </c>
      <c r="I152" s="1206" t="str">
        <f>IF(基本情報入力シート!W100="","",基本情報入力シート!W100)</f>
        <v/>
      </c>
      <c r="J152" s="1206" t="str">
        <f>IF(基本情報入力シート!X100="","",基本情報入力シート!X100)</f>
        <v/>
      </c>
      <c r="K152" s="1206" t="str">
        <f>IF(基本情報入力シート!Y100="","",基本情報入力シート!Y100)</f>
        <v/>
      </c>
      <c r="L152" s="1209" t="str">
        <f>IF(基本情報入力シート!AB100="","",基本情報入力シート!AB100)</f>
        <v/>
      </c>
      <c r="M152" s="456" t="s">
        <v>132</v>
      </c>
      <c r="N152" s="75"/>
      <c r="O152" s="457" t="str">
        <f>IFERROR(VLOOKUP(K152,【参考】数式用!$A$5:$J$37,MATCH(N152,【参考】数式用!$B$4:$J$4,0)+1,0),"")</f>
        <v/>
      </c>
      <c r="P152" s="75"/>
      <c r="Q152" s="457" t="str">
        <f>IFERROR(VLOOKUP(K152,【参考】数式用!$A$5:$J$37,MATCH(P152,【参考】数式用!$B$4:$J$4,0)+1,0),"")</f>
        <v/>
      </c>
      <c r="R152" s="458" t="s">
        <v>15</v>
      </c>
      <c r="S152" s="459">
        <v>6</v>
      </c>
      <c r="T152" s="125" t="s">
        <v>10</v>
      </c>
      <c r="U152" s="39">
        <v>4</v>
      </c>
      <c r="V152" s="125" t="s">
        <v>38</v>
      </c>
      <c r="W152" s="459">
        <v>6</v>
      </c>
      <c r="X152" s="125" t="s">
        <v>10</v>
      </c>
      <c r="Y152" s="39">
        <v>5</v>
      </c>
      <c r="Z152" s="125" t="s">
        <v>13</v>
      </c>
      <c r="AA152" s="460" t="s">
        <v>20</v>
      </c>
      <c r="AB152" s="461">
        <f t="shared" si="259"/>
        <v>2</v>
      </c>
      <c r="AC152" s="125" t="s">
        <v>33</v>
      </c>
      <c r="AD152" s="462" t="str">
        <f t="shared" ref="AD152" si="440">IFERROR(ROUNDDOWN(ROUND(L152*Q152,0),0)*AB152,"")</f>
        <v/>
      </c>
      <c r="AE152" s="463" t="str">
        <f t="shared" si="272"/>
        <v/>
      </c>
      <c r="AF152" s="464"/>
      <c r="AG152" s="374"/>
      <c r="AH152" s="382"/>
      <c r="AI152" s="379"/>
      <c r="AJ152" s="380"/>
      <c r="AK152" s="360"/>
      <c r="AL152" s="361"/>
      <c r="AM152" s="465" t="str">
        <f t="shared" ref="AM152" si="441">IF(AO152="","",IF(Q152&lt;O152,"！加算の要件上は問題ありませんが、令和６年３月と比較して４・５月に加算率が下がる計画になっています。",""))</f>
        <v/>
      </c>
      <c r="AO152" s="466" t="str">
        <f>IF(K152&lt;&gt;"","P列・R列に色付け","")</f>
        <v/>
      </c>
      <c r="AP152" s="467" t="str">
        <f>IFERROR(VLOOKUP(K152,【参考】数式用!$AH$2:$AI$34,2,FALSE),"")</f>
        <v/>
      </c>
      <c r="AQ152" s="469" t="str">
        <f>P152&amp;P153&amp;P154</f>
        <v/>
      </c>
      <c r="AR152" s="467" t="str">
        <f t="shared" ref="AR152" si="442">IF(AF154&lt;&gt;0,IF(AG154="○","入力済","未入力"),"")</f>
        <v/>
      </c>
      <c r="AS152" s="468" t="str">
        <f>IF(OR(P152="処遇加算Ⅰ",P152="処遇加算Ⅱ"),IF(OR(AH152="○",AH152="令和６年度中に満たす"),"入力済","未入力"),"")</f>
        <v/>
      </c>
      <c r="AT152" s="469" t="str">
        <f>IF(P152="処遇加算Ⅲ",IF(AI152="○","入力済","未入力"),"")</f>
        <v/>
      </c>
      <c r="AU152" s="467" t="str">
        <f>IF(P152="処遇加算Ⅰ",IF(OR(AJ152="○",AJ152="令和６年度中に満たす"),"入力済","未入力"),"")</f>
        <v/>
      </c>
      <c r="AV152" s="467" t="str">
        <f t="shared" ref="AV152" si="443">IF(OR(P153="特定加算Ⅰ",P153="特定加算Ⅱ"),1,"")</f>
        <v/>
      </c>
      <c r="AW152" s="452" t="str">
        <f>IF(P153="特定加算Ⅰ",IF(AL153="","未入力","入力済"),"")</f>
        <v/>
      </c>
      <c r="AX152" s="452" t="str">
        <f>G152</f>
        <v/>
      </c>
    </row>
    <row r="153" spans="1:50" ht="32.1" customHeight="1">
      <c r="A153" s="1267"/>
      <c r="B153" s="1204"/>
      <c r="C153" s="1204"/>
      <c r="D153" s="1204"/>
      <c r="E153" s="1204"/>
      <c r="F153" s="1204"/>
      <c r="G153" s="1207"/>
      <c r="H153" s="1207"/>
      <c r="I153" s="1207"/>
      <c r="J153" s="1207"/>
      <c r="K153" s="1207"/>
      <c r="L153" s="1210"/>
      <c r="M153" s="470" t="s">
        <v>121</v>
      </c>
      <c r="N153" s="76"/>
      <c r="O153" s="471" t="str">
        <f>IFERROR(VLOOKUP(K152,【参考】数式用!$A$5:$J$37,MATCH(N153,【参考】数式用!$B$4:$J$4,0)+1,0),"")</f>
        <v/>
      </c>
      <c r="P153" s="76"/>
      <c r="Q153" s="471" t="str">
        <f>IFERROR(VLOOKUP(K152,【参考】数式用!$A$5:$J$37,MATCH(P153,【参考】数式用!$B$4:$J$4,0)+1,0),"")</f>
        <v/>
      </c>
      <c r="R153" s="96" t="s">
        <v>15</v>
      </c>
      <c r="S153" s="472">
        <v>6</v>
      </c>
      <c r="T153" s="97" t="s">
        <v>10</v>
      </c>
      <c r="U153" s="58">
        <v>4</v>
      </c>
      <c r="V153" s="97" t="s">
        <v>38</v>
      </c>
      <c r="W153" s="472">
        <v>6</v>
      </c>
      <c r="X153" s="97" t="s">
        <v>10</v>
      </c>
      <c r="Y153" s="58">
        <v>5</v>
      </c>
      <c r="Z153" s="97" t="s">
        <v>13</v>
      </c>
      <c r="AA153" s="473" t="s">
        <v>20</v>
      </c>
      <c r="AB153" s="474">
        <f t="shared" si="259"/>
        <v>2</v>
      </c>
      <c r="AC153" s="97" t="s">
        <v>33</v>
      </c>
      <c r="AD153" s="475" t="str">
        <f t="shared" ref="AD153" si="444">IFERROR(ROUNDDOWN(ROUND(L152*Q153,0),0)*AB153,"")</f>
        <v/>
      </c>
      <c r="AE153" s="476" t="str">
        <f t="shared" si="277"/>
        <v/>
      </c>
      <c r="AF153" s="477"/>
      <c r="AG153" s="362"/>
      <c r="AH153" s="363"/>
      <c r="AI153" s="364"/>
      <c r="AJ153" s="365"/>
      <c r="AK153" s="366"/>
      <c r="AL153" s="367"/>
      <c r="AM153" s="478"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79"/>
      <c r="AO153" s="466" t="str">
        <f>IF(K152&lt;&gt;"","P列・R列に色付け","")</f>
        <v/>
      </c>
      <c r="AX153" s="452" t="str">
        <f>G152</f>
        <v/>
      </c>
    </row>
    <row r="154" spans="1:50" ht="32.1" customHeight="1" thickBot="1">
      <c r="A154" s="1268"/>
      <c r="B154" s="1205"/>
      <c r="C154" s="1205"/>
      <c r="D154" s="1205"/>
      <c r="E154" s="1205"/>
      <c r="F154" s="1205"/>
      <c r="G154" s="1208"/>
      <c r="H154" s="1208"/>
      <c r="I154" s="1208"/>
      <c r="J154" s="1208"/>
      <c r="K154" s="1208"/>
      <c r="L154" s="1211"/>
      <c r="M154" s="480" t="s">
        <v>114</v>
      </c>
      <c r="N154" s="79"/>
      <c r="O154" s="481" t="str">
        <f>IFERROR(VLOOKUP(K152,【参考】数式用!$A$5:$J$37,MATCH(N154,【参考】数式用!$B$4:$J$4,0)+1,0),"")</f>
        <v/>
      </c>
      <c r="P154" s="77"/>
      <c r="Q154" s="481" t="str">
        <f>IFERROR(VLOOKUP(K152,【参考】数式用!$A$5:$J$37,MATCH(P154,【参考】数式用!$B$4:$J$4,0)+1,0),"")</f>
        <v/>
      </c>
      <c r="R154" s="482" t="s">
        <v>15</v>
      </c>
      <c r="S154" s="483">
        <v>6</v>
      </c>
      <c r="T154" s="484" t="s">
        <v>10</v>
      </c>
      <c r="U154" s="59">
        <v>4</v>
      </c>
      <c r="V154" s="484" t="s">
        <v>38</v>
      </c>
      <c r="W154" s="483">
        <v>6</v>
      </c>
      <c r="X154" s="484" t="s">
        <v>10</v>
      </c>
      <c r="Y154" s="59">
        <v>5</v>
      </c>
      <c r="Z154" s="484" t="s">
        <v>13</v>
      </c>
      <c r="AA154" s="485" t="s">
        <v>20</v>
      </c>
      <c r="AB154" s="486">
        <f t="shared" si="259"/>
        <v>2</v>
      </c>
      <c r="AC154" s="484" t="s">
        <v>33</v>
      </c>
      <c r="AD154" s="487" t="str">
        <f t="shared" ref="AD154" si="446">IFERROR(ROUNDDOWN(ROUND(L152*Q154,0),0)*AB154,"")</f>
        <v/>
      </c>
      <c r="AE154" s="488" t="str">
        <f t="shared" si="280"/>
        <v/>
      </c>
      <c r="AF154" s="489">
        <f t="shared" si="346"/>
        <v>0</v>
      </c>
      <c r="AG154" s="368"/>
      <c r="AH154" s="369"/>
      <c r="AI154" s="370"/>
      <c r="AJ154" s="371"/>
      <c r="AK154" s="372"/>
      <c r="AL154" s="373"/>
      <c r="AM154" s="490"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1" t="str">
        <f>IF(K152&lt;&gt;"","P列・R列に色付け","")</f>
        <v/>
      </c>
      <c r="AP154" s="492"/>
      <c r="AQ154" s="492"/>
      <c r="AW154" s="493"/>
      <c r="AX154" s="452" t="str">
        <f>G152</f>
        <v/>
      </c>
    </row>
    <row r="155" spans="1:50" ht="32.1" customHeight="1">
      <c r="A155" s="1266">
        <v>48</v>
      </c>
      <c r="B155" s="1203" t="str">
        <f>IF(基本情報入力シート!C101="","",基本情報入力シート!C101)</f>
        <v/>
      </c>
      <c r="C155" s="1203"/>
      <c r="D155" s="1203"/>
      <c r="E155" s="1203"/>
      <c r="F155" s="1203"/>
      <c r="G155" s="1206" t="str">
        <f>IF(基本情報入力シート!M101="","",基本情報入力シート!M101)</f>
        <v/>
      </c>
      <c r="H155" s="1206" t="str">
        <f>IF(基本情報入力シート!R101="","",基本情報入力シート!R101)</f>
        <v/>
      </c>
      <c r="I155" s="1206" t="str">
        <f>IF(基本情報入力シート!W101="","",基本情報入力シート!W101)</f>
        <v/>
      </c>
      <c r="J155" s="1206" t="str">
        <f>IF(基本情報入力シート!X101="","",基本情報入力シート!X101)</f>
        <v/>
      </c>
      <c r="K155" s="1206" t="str">
        <f>IF(基本情報入力シート!Y101="","",基本情報入力シート!Y101)</f>
        <v/>
      </c>
      <c r="L155" s="1209" t="str">
        <f>IF(基本情報入力シート!AB101="","",基本情報入力シート!AB101)</f>
        <v/>
      </c>
      <c r="M155" s="456" t="s">
        <v>132</v>
      </c>
      <c r="N155" s="75"/>
      <c r="O155" s="457" t="str">
        <f>IFERROR(VLOOKUP(K155,【参考】数式用!$A$5:$J$37,MATCH(N155,【参考】数式用!$B$4:$J$4,0)+1,0),"")</f>
        <v/>
      </c>
      <c r="P155" s="75"/>
      <c r="Q155" s="457" t="str">
        <f>IFERROR(VLOOKUP(K155,【参考】数式用!$A$5:$J$37,MATCH(P155,【参考】数式用!$B$4:$J$4,0)+1,0),"")</f>
        <v/>
      </c>
      <c r="R155" s="458" t="s">
        <v>15</v>
      </c>
      <c r="S155" s="459">
        <v>6</v>
      </c>
      <c r="T155" s="125" t="s">
        <v>10</v>
      </c>
      <c r="U155" s="39">
        <v>4</v>
      </c>
      <c r="V155" s="125" t="s">
        <v>38</v>
      </c>
      <c r="W155" s="459">
        <v>6</v>
      </c>
      <c r="X155" s="125" t="s">
        <v>10</v>
      </c>
      <c r="Y155" s="39">
        <v>5</v>
      </c>
      <c r="Z155" s="125" t="s">
        <v>13</v>
      </c>
      <c r="AA155" s="460" t="s">
        <v>20</v>
      </c>
      <c r="AB155" s="461">
        <f t="shared" si="259"/>
        <v>2</v>
      </c>
      <c r="AC155" s="125" t="s">
        <v>33</v>
      </c>
      <c r="AD155" s="462" t="str">
        <f t="shared" ref="AD155" si="448">IFERROR(ROUNDDOWN(ROUND(L155*Q155,0),0)*AB155,"")</f>
        <v/>
      </c>
      <c r="AE155" s="463" t="str">
        <f t="shared" si="283"/>
        <v/>
      </c>
      <c r="AF155" s="464"/>
      <c r="AG155" s="374"/>
      <c r="AH155" s="382"/>
      <c r="AI155" s="379"/>
      <c r="AJ155" s="380"/>
      <c r="AK155" s="360"/>
      <c r="AL155" s="361"/>
      <c r="AM155" s="465" t="str">
        <f t="shared" ref="AM155" si="449">IF(AO155="","",IF(Q155&lt;O155,"！加算の要件上は問題ありませんが、令和６年３月と比較して４・５月に加算率が下がる計画になっています。",""))</f>
        <v/>
      </c>
      <c r="AO155" s="466" t="str">
        <f>IF(K155&lt;&gt;"","P列・R列に色付け","")</f>
        <v/>
      </c>
      <c r="AP155" s="467" t="str">
        <f>IFERROR(VLOOKUP(K155,【参考】数式用!$AH$2:$AI$34,2,FALSE),"")</f>
        <v/>
      </c>
      <c r="AQ155" s="469" t="str">
        <f>P155&amp;P156&amp;P157</f>
        <v/>
      </c>
      <c r="AR155" s="467" t="str">
        <f t="shared" ref="AR155" si="450">IF(AF157&lt;&gt;0,IF(AG157="○","入力済","未入力"),"")</f>
        <v/>
      </c>
      <c r="AS155" s="468" t="str">
        <f>IF(OR(P155="処遇加算Ⅰ",P155="処遇加算Ⅱ"),IF(OR(AH155="○",AH155="令和６年度中に満たす"),"入力済","未入力"),"")</f>
        <v/>
      </c>
      <c r="AT155" s="469" t="str">
        <f>IF(P155="処遇加算Ⅲ",IF(AI155="○","入力済","未入力"),"")</f>
        <v/>
      </c>
      <c r="AU155" s="467" t="str">
        <f>IF(P155="処遇加算Ⅰ",IF(OR(AJ155="○",AJ155="令和６年度中に満たす"),"入力済","未入力"),"")</f>
        <v/>
      </c>
      <c r="AV155" s="467" t="str">
        <f t="shared" ref="AV155" si="451">IF(OR(P156="特定加算Ⅰ",P156="特定加算Ⅱ"),1,"")</f>
        <v/>
      </c>
      <c r="AW155" s="452" t="str">
        <f>IF(P156="特定加算Ⅰ",IF(AL156="","未入力","入力済"),"")</f>
        <v/>
      </c>
      <c r="AX155" s="452" t="str">
        <f>G155</f>
        <v/>
      </c>
    </row>
    <row r="156" spans="1:50" ht="32.1" customHeight="1">
      <c r="A156" s="1267"/>
      <c r="B156" s="1204"/>
      <c r="C156" s="1204"/>
      <c r="D156" s="1204"/>
      <c r="E156" s="1204"/>
      <c r="F156" s="1204"/>
      <c r="G156" s="1207"/>
      <c r="H156" s="1207"/>
      <c r="I156" s="1207"/>
      <c r="J156" s="1207"/>
      <c r="K156" s="1207"/>
      <c r="L156" s="1210"/>
      <c r="M156" s="470" t="s">
        <v>121</v>
      </c>
      <c r="N156" s="76"/>
      <c r="O156" s="471" t="str">
        <f>IFERROR(VLOOKUP(K155,【参考】数式用!$A$5:$J$37,MATCH(N156,【参考】数式用!$B$4:$J$4,0)+1,0),"")</f>
        <v/>
      </c>
      <c r="P156" s="76"/>
      <c r="Q156" s="471" t="str">
        <f>IFERROR(VLOOKUP(K155,【参考】数式用!$A$5:$J$37,MATCH(P156,【参考】数式用!$B$4:$J$4,0)+1,0),"")</f>
        <v/>
      </c>
      <c r="R156" s="96" t="s">
        <v>15</v>
      </c>
      <c r="S156" s="472">
        <v>6</v>
      </c>
      <c r="T156" s="97" t="s">
        <v>10</v>
      </c>
      <c r="U156" s="58">
        <v>4</v>
      </c>
      <c r="V156" s="97" t="s">
        <v>38</v>
      </c>
      <c r="W156" s="472">
        <v>6</v>
      </c>
      <c r="X156" s="97" t="s">
        <v>10</v>
      </c>
      <c r="Y156" s="58">
        <v>5</v>
      </c>
      <c r="Z156" s="97" t="s">
        <v>13</v>
      </c>
      <c r="AA156" s="473" t="s">
        <v>20</v>
      </c>
      <c r="AB156" s="474">
        <f t="shared" si="259"/>
        <v>2</v>
      </c>
      <c r="AC156" s="97" t="s">
        <v>33</v>
      </c>
      <c r="AD156" s="475" t="str">
        <f t="shared" ref="AD156" si="452">IFERROR(ROUNDDOWN(ROUND(L155*Q156,0),0)*AB156,"")</f>
        <v/>
      </c>
      <c r="AE156" s="476" t="str">
        <f t="shared" si="288"/>
        <v/>
      </c>
      <c r="AF156" s="477"/>
      <c r="AG156" s="362"/>
      <c r="AH156" s="363"/>
      <c r="AI156" s="364"/>
      <c r="AJ156" s="365"/>
      <c r="AK156" s="366"/>
      <c r="AL156" s="367"/>
      <c r="AM156" s="478"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79"/>
      <c r="AO156" s="466" t="str">
        <f>IF(K155&lt;&gt;"","P列・R列に色付け","")</f>
        <v/>
      </c>
      <c r="AX156" s="452" t="str">
        <f>G155</f>
        <v/>
      </c>
    </row>
    <row r="157" spans="1:50" ht="32.1" customHeight="1" thickBot="1">
      <c r="A157" s="1268"/>
      <c r="B157" s="1205"/>
      <c r="C157" s="1205"/>
      <c r="D157" s="1205"/>
      <c r="E157" s="1205"/>
      <c r="F157" s="1205"/>
      <c r="G157" s="1208"/>
      <c r="H157" s="1208"/>
      <c r="I157" s="1208"/>
      <c r="J157" s="1208"/>
      <c r="K157" s="1208"/>
      <c r="L157" s="1211"/>
      <c r="M157" s="480" t="s">
        <v>114</v>
      </c>
      <c r="N157" s="79"/>
      <c r="O157" s="481" t="str">
        <f>IFERROR(VLOOKUP(K155,【参考】数式用!$A$5:$J$37,MATCH(N157,【参考】数式用!$B$4:$J$4,0)+1,0),"")</f>
        <v/>
      </c>
      <c r="P157" s="77"/>
      <c r="Q157" s="481" t="str">
        <f>IFERROR(VLOOKUP(K155,【参考】数式用!$A$5:$J$37,MATCH(P157,【参考】数式用!$B$4:$J$4,0)+1,0),"")</f>
        <v/>
      </c>
      <c r="R157" s="482" t="s">
        <v>15</v>
      </c>
      <c r="S157" s="483">
        <v>6</v>
      </c>
      <c r="T157" s="484" t="s">
        <v>10</v>
      </c>
      <c r="U157" s="59">
        <v>4</v>
      </c>
      <c r="V157" s="484" t="s">
        <v>38</v>
      </c>
      <c r="W157" s="483">
        <v>6</v>
      </c>
      <c r="X157" s="484" t="s">
        <v>10</v>
      </c>
      <c r="Y157" s="59">
        <v>5</v>
      </c>
      <c r="Z157" s="484" t="s">
        <v>13</v>
      </c>
      <c r="AA157" s="485" t="s">
        <v>20</v>
      </c>
      <c r="AB157" s="486">
        <f t="shared" si="259"/>
        <v>2</v>
      </c>
      <c r="AC157" s="484" t="s">
        <v>33</v>
      </c>
      <c r="AD157" s="487" t="str">
        <f t="shared" ref="AD157" si="454">IFERROR(ROUNDDOWN(ROUND(L155*Q157,0),0)*AB157,"")</f>
        <v/>
      </c>
      <c r="AE157" s="488" t="str">
        <f t="shared" si="291"/>
        <v/>
      </c>
      <c r="AF157" s="489">
        <f t="shared" si="346"/>
        <v>0</v>
      </c>
      <c r="AG157" s="368"/>
      <c r="AH157" s="369"/>
      <c r="AI157" s="370"/>
      <c r="AJ157" s="371"/>
      <c r="AK157" s="372"/>
      <c r="AL157" s="373"/>
      <c r="AM157" s="490"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1" t="str">
        <f>IF(K155&lt;&gt;"","P列・R列に色付け","")</f>
        <v/>
      </c>
      <c r="AP157" s="492"/>
      <c r="AQ157" s="492"/>
      <c r="AW157" s="493"/>
      <c r="AX157" s="452" t="str">
        <f>G155</f>
        <v/>
      </c>
    </row>
    <row r="158" spans="1:50" ht="32.1" customHeight="1">
      <c r="A158" s="1266">
        <v>49</v>
      </c>
      <c r="B158" s="1203" t="str">
        <f>IF(基本情報入力シート!C102="","",基本情報入力シート!C102)</f>
        <v/>
      </c>
      <c r="C158" s="1203"/>
      <c r="D158" s="1203"/>
      <c r="E158" s="1203"/>
      <c r="F158" s="1203"/>
      <c r="G158" s="1206" t="str">
        <f>IF(基本情報入力シート!M102="","",基本情報入力シート!M102)</f>
        <v/>
      </c>
      <c r="H158" s="1206" t="str">
        <f>IF(基本情報入力シート!R102="","",基本情報入力シート!R102)</f>
        <v/>
      </c>
      <c r="I158" s="1206" t="str">
        <f>IF(基本情報入力シート!W102="","",基本情報入力シート!W102)</f>
        <v/>
      </c>
      <c r="J158" s="1206" t="str">
        <f>IF(基本情報入力シート!X102="","",基本情報入力シート!X102)</f>
        <v/>
      </c>
      <c r="K158" s="1206" t="str">
        <f>IF(基本情報入力シート!Y102="","",基本情報入力シート!Y102)</f>
        <v/>
      </c>
      <c r="L158" s="1209" t="str">
        <f>IF(基本情報入力シート!AB102="","",基本情報入力シート!AB102)</f>
        <v/>
      </c>
      <c r="M158" s="456" t="s">
        <v>132</v>
      </c>
      <c r="N158" s="75"/>
      <c r="O158" s="457" t="str">
        <f>IFERROR(VLOOKUP(K158,【参考】数式用!$A$5:$J$37,MATCH(N158,【参考】数式用!$B$4:$J$4,0)+1,0),"")</f>
        <v/>
      </c>
      <c r="P158" s="75"/>
      <c r="Q158" s="457" t="str">
        <f>IFERROR(VLOOKUP(K158,【参考】数式用!$A$5:$J$37,MATCH(P158,【参考】数式用!$B$4:$J$4,0)+1,0),"")</f>
        <v/>
      </c>
      <c r="R158" s="458" t="s">
        <v>15</v>
      </c>
      <c r="S158" s="459">
        <v>6</v>
      </c>
      <c r="T158" s="125" t="s">
        <v>10</v>
      </c>
      <c r="U158" s="39">
        <v>4</v>
      </c>
      <c r="V158" s="125" t="s">
        <v>38</v>
      </c>
      <c r="W158" s="459">
        <v>6</v>
      </c>
      <c r="X158" s="125" t="s">
        <v>10</v>
      </c>
      <c r="Y158" s="39">
        <v>5</v>
      </c>
      <c r="Z158" s="125" t="s">
        <v>13</v>
      </c>
      <c r="AA158" s="460" t="s">
        <v>20</v>
      </c>
      <c r="AB158" s="461">
        <f t="shared" si="259"/>
        <v>2</v>
      </c>
      <c r="AC158" s="125" t="s">
        <v>33</v>
      </c>
      <c r="AD158" s="462" t="str">
        <f t="shared" ref="AD158" si="456">IFERROR(ROUNDDOWN(ROUND(L158*Q158,0),0)*AB158,"")</f>
        <v/>
      </c>
      <c r="AE158" s="463" t="str">
        <f t="shared" ref="AE158" si="457">IFERROR(ROUNDDOWN(ROUND(L158*(Q158-O158),0),0)*AB158,"")</f>
        <v/>
      </c>
      <c r="AF158" s="464"/>
      <c r="AG158" s="374"/>
      <c r="AH158" s="382"/>
      <c r="AI158" s="379"/>
      <c r="AJ158" s="380"/>
      <c r="AK158" s="360"/>
      <c r="AL158" s="361"/>
      <c r="AM158" s="465" t="str">
        <f t="shared" ref="AM158" si="458">IF(AO158="","",IF(Q158&lt;O158,"！加算の要件上は問題ありませんが、令和６年３月と比較して４・５月に加算率が下がる計画になっています。",""))</f>
        <v/>
      </c>
      <c r="AO158" s="466" t="str">
        <f>IF(K158&lt;&gt;"","P列・R列に色付け","")</f>
        <v/>
      </c>
      <c r="AP158" s="467" t="str">
        <f>IFERROR(VLOOKUP(K158,【参考】数式用!$AH$2:$AI$34,2,FALSE),"")</f>
        <v/>
      </c>
      <c r="AQ158" s="469" t="str">
        <f>P158&amp;P159&amp;P160</f>
        <v/>
      </c>
      <c r="AR158" s="467" t="str">
        <f t="shared" ref="AR158" si="459">IF(AF160&lt;&gt;0,IF(AG160="○","入力済","未入力"),"")</f>
        <v/>
      </c>
      <c r="AS158" s="468" t="str">
        <f>IF(OR(P158="処遇加算Ⅰ",P158="処遇加算Ⅱ"),IF(OR(AH158="○",AH158="令和６年度中に満たす"),"入力済","未入力"),"")</f>
        <v/>
      </c>
      <c r="AT158" s="469" t="str">
        <f>IF(P158="処遇加算Ⅲ",IF(AI158="○","入力済","未入力"),"")</f>
        <v/>
      </c>
      <c r="AU158" s="467" t="str">
        <f>IF(P158="処遇加算Ⅰ",IF(OR(AJ158="○",AJ158="令和６年度中に満たす"),"入力済","未入力"),"")</f>
        <v/>
      </c>
      <c r="AV158" s="467" t="str">
        <f t="shared" ref="AV158" si="460">IF(OR(P159="特定加算Ⅰ",P159="特定加算Ⅱ"),1,"")</f>
        <v/>
      </c>
      <c r="AW158" s="452" t="str">
        <f>IF(P159="特定加算Ⅰ",IF(AL159="","未入力","入力済"),"")</f>
        <v/>
      </c>
      <c r="AX158" s="452" t="str">
        <f>G158</f>
        <v/>
      </c>
    </row>
    <row r="159" spans="1:50" ht="32.1" customHeight="1">
      <c r="A159" s="1267"/>
      <c r="B159" s="1204"/>
      <c r="C159" s="1204"/>
      <c r="D159" s="1204"/>
      <c r="E159" s="1204"/>
      <c r="F159" s="1204"/>
      <c r="G159" s="1207"/>
      <c r="H159" s="1207"/>
      <c r="I159" s="1207"/>
      <c r="J159" s="1207"/>
      <c r="K159" s="1207"/>
      <c r="L159" s="1210"/>
      <c r="M159" s="470" t="s">
        <v>121</v>
      </c>
      <c r="N159" s="76"/>
      <c r="O159" s="471" t="str">
        <f>IFERROR(VLOOKUP(K158,【参考】数式用!$A$5:$J$37,MATCH(N159,【参考】数式用!$B$4:$J$4,0)+1,0),"")</f>
        <v/>
      </c>
      <c r="P159" s="76"/>
      <c r="Q159" s="471" t="str">
        <f>IFERROR(VLOOKUP(K158,【参考】数式用!$A$5:$J$37,MATCH(P159,【参考】数式用!$B$4:$J$4,0)+1,0),"")</f>
        <v/>
      </c>
      <c r="R159" s="96" t="s">
        <v>15</v>
      </c>
      <c r="S159" s="472">
        <v>6</v>
      </c>
      <c r="T159" s="97" t="s">
        <v>10</v>
      </c>
      <c r="U159" s="58">
        <v>4</v>
      </c>
      <c r="V159" s="97" t="s">
        <v>38</v>
      </c>
      <c r="W159" s="472">
        <v>6</v>
      </c>
      <c r="X159" s="97" t="s">
        <v>10</v>
      </c>
      <c r="Y159" s="58">
        <v>5</v>
      </c>
      <c r="Z159" s="97" t="s">
        <v>13</v>
      </c>
      <c r="AA159" s="473" t="s">
        <v>20</v>
      </c>
      <c r="AB159" s="474">
        <f t="shared" ref="AB159:AB222" si="461">IF(U159&gt;=1,(W159*12+Y159)-(S159*12+U159)+1,"")</f>
        <v>2</v>
      </c>
      <c r="AC159" s="97" t="s">
        <v>33</v>
      </c>
      <c r="AD159" s="475" t="str">
        <f t="shared" ref="AD159" si="462">IFERROR(ROUNDDOWN(ROUND(L158*Q159,0),0)*AB159,"")</f>
        <v/>
      </c>
      <c r="AE159" s="476" t="str">
        <f t="shared" ref="AE159" si="463">IFERROR(ROUNDDOWN(ROUND(L158*(Q159-O159),0),0)*AB159,"")</f>
        <v/>
      </c>
      <c r="AF159" s="477"/>
      <c r="AG159" s="362"/>
      <c r="AH159" s="363"/>
      <c r="AI159" s="364"/>
      <c r="AJ159" s="365"/>
      <c r="AK159" s="366"/>
      <c r="AL159" s="367"/>
      <c r="AM159" s="478"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79"/>
      <c r="AO159" s="466" t="str">
        <f>IF(K158&lt;&gt;"","P列・R列に色付け","")</f>
        <v/>
      </c>
      <c r="AX159" s="452" t="str">
        <f>G158</f>
        <v/>
      </c>
    </row>
    <row r="160" spans="1:50" ht="32.1" customHeight="1" thickBot="1">
      <c r="A160" s="1268"/>
      <c r="B160" s="1205"/>
      <c r="C160" s="1205"/>
      <c r="D160" s="1205"/>
      <c r="E160" s="1205"/>
      <c r="F160" s="1205"/>
      <c r="G160" s="1208"/>
      <c r="H160" s="1208"/>
      <c r="I160" s="1208"/>
      <c r="J160" s="1208"/>
      <c r="K160" s="1208"/>
      <c r="L160" s="1211"/>
      <c r="M160" s="480" t="s">
        <v>114</v>
      </c>
      <c r="N160" s="79"/>
      <c r="O160" s="481" t="str">
        <f>IFERROR(VLOOKUP(K158,【参考】数式用!$A$5:$J$37,MATCH(N160,【参考】数式用!$B$4:$J$4,0)+1,0),"")</f>
        <v/>
      </c>
      <c r="P160" s="77"/>
      <c r="Q160" s="481" t="str">
        <f>IFERROR(VLOOKUP(K158,【参考】数式用!$A$5:$J$37,MATCH(P160,【参考】数式用!$B$4:$J$4,0)+1,0),"")</f>
        <v/>
      </c>
      <c r="R160" s="482" t="s">
        <v>15</v>
      </c>
      <c r="S160" s="483">
        <v>6</v>
      </c>
      <c r="T160" s="484" t="s">
        <v>10</v>
      </c>
      <c r="U160" s="59">
        <v>4</v>
      </c>
      <c r="V160" s="484" t="s">
        <v>38</v>
      </c>
      <c r="W160" s="483">
        <v>6</v>
      </c>
      <c r="X160" s="484" t="s">
        <v>10</v>
      </c>
      <c r="Y160" s="59">
        <v>5</v>
      </c>
      <c r="Z160" s="484" t="s">
        <v>13</v>
      </c>
      <c r="AA160" s="485" t="s">
        <v>20</v>
      </c>
      <c r="AB160" s="486">
        <f t="shared" si="461"/>
        <v>2</v>
      </c>
      <c r="AC160" s="484" t="s">
        <v>33</v>
      </c>
      <c r="AD160" s="487" t="str">
        <f t="shared" ref="AD160" si="465">IFERROR(ROUNDDOWN(ROUND(L158*Q160,0),0)*AB160,"")</f>
        <v/>
      </c>
      <c r="AE160" s="488" t="str">
        <f t="shared" ref="AE160" si="466">IFERROR(ROUNDDOWN(ROUND(L158*(Q160-O160),0),0)*AB160,"")</f>
        <v/>
      </c>
      <c r="AF160" s="489">
        <f t="shared" si="346"/>
        <v>0</v>
      </c>
      <c r="AG160" s="368"/>
      <c r="AH160" s="369"/>
      <c r="AI160" s="370"/>
      <c r="AJ160" s="371"/>
      <c r="AK160" s="372"/>
      <c r="AL160" s="373"/>
      <c r="AM160" s="490"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1" t="str">
        <f>IF(K158&lt;&gt;"","P列・R列に色付け","")</f>
        <v/>
      </c>
      <c r="AP160" s="492"/>
      <c r="AQ160" s="492"/>
      <c r="AW160" s="493"/>
      <c r="AX160" s="452" t="str">
        <f>G158</f>
        <v/>
      </c>
    </row>
    <row r="161" spans="1:50" ht="32.1" customHeight="1">
      <c r="A161" s="1266">
        <v>50</v>
      </c>
      <c r="B161" s="1203" t="str">
        <f>IF(基本情報入力シート!C103="","",基本情報入力シート!C103)</f>
        <v/>
      </c>
      <c r="C161" s="1203"/>
      <c r="D161" s="1203"/>
      <c r="E161" s="1203"/>
      <c r="F161" s="1203"/>
      <c r="G161" s="1206" t="str">
        <f>IF(基本情報入力シート!M103="","",基本情報入力シート!M103)</f>
        <v/>
      </c>
      <c r="H161" s="1206" t="str">
        <f>IF(基本情報入力シート!R103="","",基本情報入力シート!R103)</f>
        <v/>
      </c>
      <c r="I161" s="1206" t="str">
        <f>IF(基本情報入力シート!W103="","",基本情報入力シート!W103)</f>
        <v/>
      </c>
      <c r="J161" s="1206" t="str">
        <f>IF(基本情報入力シート!X103="","",基本情報入力シート!X103)</f>
        <v/>
      </c>
      <c r="K161" s="1206" t="str">
        <f>IF(基本情報入力シート!Y103="","",基本情報入力シート!Y103)</f>
        <v/>
      </c>
      <c r="L161" s="1209" t="str">
        <f>IF(基本情報入力シート!AB103="","",基本情報入力シート!AB103)</f>
        <v/>
      </c>
      <c r="M161" s="456" t="s">
        <v>132</v>
      </c>
      <c r="N161" s="75"/>
      <c r="O161" s="457" t="str">
        <f>IFERROR(VLOOKUP(K161,【参考】数式用!$A$5:$J$37,MATCH(N161,【参考】数式用!$B$4:$J$4,0)+1,0),"")</f>
        <v/>
      </c>
      <c r="P161" s="75"/>
      <c r="Q161" s="457" t="str">
        <f>IFERROR(VLOOKUP(K161,【参考】数式用!$A$5:$J$37,MATCH(P161,【参考】数式用!$B$4:$J$4,0)+1,0),"")</f>
        <v/>
      </c>
      <c r="R161" s="458" t="s">
        <v>15</v>
      </c>
      <c r="S161" s="459">
        <v>6</v>
      </c>
      <c r="T161" s="125" t="s">
        <v>10</v>
      </c>
      <c r="U161" s="39">
        <v>4</v>
      </c>
      <c r="V161" s="125" t="s">
        <v>38</v>
      </c>
      <c r="W161" s="459">
        <v>6</v>
      </c>
      <c r="X161" s="125" t="s">
        <v>10</v>
      </c>
      <c r="Y161" s="39">
        <v>5</v>
      </c>
      <c r="Z161" s="125" t="s">
        <v>13</v>
      </c>
      <c r="AA161" s="460" t="s">
        <v>20</v>
      </c>
      <c r="AB161" s="461">
        <f t="shared" si="461"/>
        <v>2</v>
      </c>
      <c r="AC161" s="125" t="s">
        <v>33</v>
      </c>
      <c r="AD161" s="462" t="str">
        <f t="shared" ref="AD161" si="468">IFERROR(ROUNDDOWN(ROUND(L161*Q161,0),0)*AB161,"")</f>
        <v/>
      </c>
      <c r="AE161" s="463" t="str">
        <f t="shared" si="272"/>
        <v/>
      </c>
      <c r="AF161" s="464"/>
      <c r="AG161" s="374"/>
      <c r="AH161" s="382"/>
      <c r="AI161" s="379"/>
      <c r="AJ161" s="380"/>
      <c r="AK161" s="360"/>
      <c r="AL161" s="361"/>
      <c r="AM161" s="465" t="str">
        <f t="shared" ref="AM161" si="469">IF(AO161="","",IF(Q161&lt;O161,"！加算の要件上は問題ありませんが、令和６年３月と比較して４・５月に加算率が下がる計画になっています。",""))</f>
        <v/>
      </c>
      <c r="AO161" s="466" t="str">
        <f>IF(K161&lt;&gt;"","P列・R列に色付け","")</f>
        <v/>
      </c>
      <c r="AP161" s="467" t="str">
        <f>IFERROR(VLOOKUP(K161,【参考】数式用!$AH$2:$AI$34,2,FALSE),"")</f>
        <v/>
      </c>
      <c r="AQ161" s="469" t="str">
        <f>P161&amp;P162&amp;P163</f>
        <v/>
      </c>
      <c r="AR161" s="467" t="str">
        <f t="shared" ref="AR161" si="470">IF(AF163&lt;&gt;0,IF(AG163="○","入力済","未入力"),"")</f>
        <v/>
      </c>
      <c r="AS161" s="468" t="str">
        <f>IF(OR(P161="処遇加算Ⅰ",P161="処遇加算Ⅱ"),IF(OR(AH161="○",AH161="令和６年度中に満たす"),"入力済","未入力"),"")</f>
        <v/>
      </c>
      <c r="AT161" s="469" t="str">
        <f>IF(P161="処遇加算Ⅲ",IF(AI161="○","入力済","未入力"),"")</f>
        <v/>
      </c>
      <c r="AU161" s="467" t="str">
        <f>IF(P161="処遇加算Ⅰ",IF(OR(AJ161="○",AJ161="令和６年度中に満たす"),"入力済","未入力"),"")</f>
        <v/>
      </c>
      <c r="AV161" s="467" t="str">
        <f t="shared" ref="AV161" si="471">IF(OR(P162="特定加算Ⅰ",P162="特定加算Ⅱ"),1,"")</f>
        <v/>
      </c>
      <c r="AW161" s="452" t="str">
        <f>IF(P162="特定加算Ⅰ",IF(AL162="","未入力","入力済"),"")</f>
        <v/>
      </c>
      <c r="AX161" s="452" t="str">
        <f>G161</f>
        <v/>
      </c>
    </row>
    <row r="162" spans="1:50" ht="32.1" customHeight="1">
      <c r="A162" s="1267"/>
      <c r="B162" s="1204"/>
      <c r="C162" s="1204"/>
      <c r="D162" s="1204"/>
      <c r="E162" s="1204"/>
      <c r="F162" s="1204"/>
      <c r="G162" s="1207"/>
      <c r="H162" s="1207"/>
      <c r="I162" s="1207"/>
      <c r="J162" s="1207"/>
      <c r="K162" s="1207"/>
      <c r="L162" s="1210"/>
      <c r="M162" s="470" t="s">
        <v>121</v>
      </c>
      <c r="N162" s="76"/>
      <c r="O162" s="471" t="str">
        <f>IFERROR(VLOOKUP(K161,【参考】数式用!$A$5:$J$37,MATCH(N162,【参考】数式用!$B$4:$J$4,0)+1,0),"")</f>
        <v/>
      </c>
      <c r="P162" s="76"/>
      <c r="Q162" s="471" t="str">
        <f>IFERROR(VLOOKUP(K161,【参考】数式用!$A$5:$J$37,MATCH(P162,【参考】数式用!$B$4:$J$4,0)+1,0),"")</f>
        <v/>
      </c>
      <c r="R162" s="96" t="s">
        <v>15</v>
      </c>
      <c r="S162" s="472">
        <v>6</v>
      </c>
      <c r="T162" s="97" t="s">
        <v>10</v>
      </c>
      <c r="U162" s="58">
        <v>4</v>
      </c>
      <c r="V162" s="97" t="s">
        <v>38</v>
      </c>
      <c r="W162" s="472">
        <v>6</v>
      </c>
      <c r="X162" s="97" t="s">
        <v>10</v>
      </c>
      <c r="Y162" s="58">
        <v>5</v>
      </c>
      <c r="Z162" s="97" t="s">
        <v>13</v>
      </c>
      <c r="AA162" s="473" t="s">
        <v>20</v>
      </c>
      <c r="AB162" s="474">
        <f t="shared" si="461"/>
        <v>2</v>
      </c>
      <c r="AC162" s="97" t="s">
        <v>33</v>
      </c>
      <c r="AD162" s="475" t="str">
        <f t="shared" ref="AD162" si="472">IFERROR(ROUNDDOWN(ROUND(L161*Q162,0),0)*AB162,"")</f>
        <v/>
      </c>
      <c r="AE162" s="476" t="str">
        <f t="shared" si="277"/>
        <v/>
      </c>
      <c r="AF162" s="477"/>
      <c r="AG162" s="362"/>
      <c r="AH162" s="363"/>
      <c r="AI162" s="364"/>
      <c r="AJ162" s="365"/>
      <c r="AK162" s="366"/>
      <c r="AL162" s="367"/>
      <c r="AM162" s="478"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79"/>
      <c r="AO162" s="466" t="str">
        <f>IF(K161&lt;&gt;"","P列・R列に色付け","")</f>
        <v/>
      </c>
      <c r="AX162" s="452" t="str">
        <f>G161</f>
        <v/>
      </c>
    </row>
    <row r="163" spans="1:50" ht="32.1" customHeight="1" thickBot="1">
      <c r="A163" s="1268"/>
      <c r="B163" s="1205"/>
      <c r="C163" s="1205"/>
      <c r="D163" s="1205"/>
      <c r="E163" s="1205"/>
      <c r="F163" s="1205"/>
      <c r="G163" s="1208"/>
      <c r="H163" s="1208"/>
      <c r="I163" s="1208"/>
      <c r="J163" s="1208"/>
      <c r="K163" s="1208"/>
      <c r="L163" s="1211"/>
      <c r="M163" s="480" t="s">
        <v>114</v>
      </c>
      <c r="N163" s="79"/>
      <c r="O163" s="481" t="str">
        <f>IFERROR(VLOOKUP(K161,【参考】数式用!$A$5:$J$37,MATCH(N163,【参考】数式用!$B$4:$J$4,0)+1,0),"")</f>
        <v/>
      </c>
      <c r="P163" s="77"/>
      <c r="Q163" s="481" t="str">
        <f>IFERROR(VLOOKUP(K161,【参考】数式用!$A$5:$J$37,MATCH(P163,【参考】数式用!$B$4:$J$4,0)+1,0),"")</f>
        <v/>
      </c>
      <c r="R163" s="482" t="s">
        <v>15</v>
      </c>
      <c r="S163" s="483">
        <v>6</v>
      </c>
      <c r="T163" s="484" t="s">
        <v>10</v>
      </c>
      <c r="U163" s="59">
        <v>4</v>
      </c>
      <c r="V163" s="484" t="s">
        <v>38</v>
      </c>
      <c r="W163" s="483">
        <v>6</v>
      </c>
      <c r="X163" s="484" t="s">
        <v>10</v>
      </c>
      <c r="Y163" s="59">
        <v>5</v>
      </c>
      <c r="Z163" s="484" t="s">
        <v>13</v>
      </c>
      <c r="AA163" s="485" t="s">
        <v>20</v>
      </c>
      <c r="AB163" s="486">
        <f t="shared" si="461"/>
        <v>2</v>
      </c>
      <c r="AC163" s="484" t="s">
        <v>33</v>
      </c>
      <c r="AD163" s="487" t="str">
        <f t="shared" ref="AD163" si="474">IFERROR(ROUNDDOWN(ROUND(L161*Q163,0),0)*AB163,"")</f>
        <v/>
      </c>
      <c r="AE163" s="488" t="str">
        <f t="shared" si="280"/>
        <v/>
      </c>
      <c r="AF163" s="489">
        <f t="shared" si="346"/>
        <v>0</v>
      </c>
      <c r="AG163" s="368"/>
      <c r="AH163" s="369"/>
      <c r="AI163" s="370"/>
      <c r="AJ163" s="371"/>
      <c r="AK163" s="372"/>
      <c r="AL163" s="373"/>
      <c r="AM163" s="490"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1" t="str">
        <f>IF(K161&lt;&gt;"","P列・R列に色付け","")</f>
        <v/>
      </c>
      <c r="AP163" s="492"/>
      <c r="AQ163" s="492"/>
      <c r="AW163" s="493"/>
      <c r="AX163" s="452" t="str">
        <f>G161</f>
        <v/>
      </c>
    </row>
    <row r="164" spans="1:50" ht="32.1" customHeight="1">
      <c r="A164" s="1266">
        <v>51</v>
      </c>
      <c r="B164" s="1203" t="str">
        <f>IF(基本情報入力シート!C104="","",基本情報入力シート!C104)</f>
        <v/>
      </c>
      <c r="C164" s="1203"/>
      <c r="D164" s="1203"/>
      <c r="E164" s="1203"/>
      <c r="F164" s="1203"/>
      <c r="G164" s="1206" t="str">
        <f>IF(基本情報入力シート!M104="","",基本情報入力シート!M104)</f>
        <v/>
      </c>
      <c r="H164" s="1206" t="str">
        <f>IF(基本情報入力シート!R104="","",基本情報入力シート!R104)</f>
        <v/>
      </c>
      <c r="I164" s="1206" t="str">
        <f>IF(基本情報入力シート!W104="","",基本情報入力シート!W104)</f>
        <v/>
      </c>
      <c r="J164" s="1206" t="str">
        <f>IF(基本情報入力シート!X104="","",基本情報入力シート!X104)</f>
        <v/>
      </c>
      <c r="K164" s="1206" t="str">
        <f>IF(基本情報入力シート!Y104="","",基本情報入力シート!Y104)</f>
        <v/>
      </c>
      <c r="L164" s="1209" t="str">
        <f>IF(基本情報入力シート!AB104="","",基本情報入力シート!AB104)</f>
        <v/>
      </c>
      <c r="M164" s="456" t="s">
        <v>132</v>
      </c>
      <c r="N164" s="75"/>
      <c r="O164" s="457" t="str">
        <f>IFERROR(VLOOKUP(K164,【参考】数式用!$A$5:$J$37,MATCH(N164,【参考】数式用!$B$4:$J$4,0)+1,0),"")</f>
        <v/>
      </c>
      <c r="P164" s="75"/>
      <c r="Q164" s="457" t="str">
        <f>IFERROR(VLOOKUP(K164,【参考】数式用!$A$5:$J$37,MATCH(P164,【参考】数式用!$B$4:$J$4,0)+1,0),"")</f>
        <v/>
      </c>
      <c r="R164" s="458" t="s">
        <v>15</v>
      </c>
      <c r="S164" s="459">
        <v>6</v>
      </c>
      <c r="T164" s="125" t="s">
        <v>10</v>
      </c>
      <c r="U164" s="39">
        <v>4</v>
      </c>
      <c r="V164" s="125" t="s">
        <v>38</v>
      </c>
      <c r="W164" s="459">
        <v>6</v>
      </c>
      <c r="X164" s="125" t="s">
        <v>10</v>
      </c>
      <c r="Y164" s="39">
        <v>5</v>
      </c>
      <c r="Z164" s="125" t="s">
        <v>13</v>
      </c>
      <c r="AA164" s="460" t="s">
        <v>20</v>
      </c>
      <c r="AB164" s="461">
        <f t="shared" si="461"/>
        <v>2</v>
      </c>
      <c r="AC164" s="125" t="s">
        <v>33</v>
      </c>
      <c r="AD164" s="462" t="str">
        <f t="shared" ref="AD164" si="476">IFERROR(ROUNDDOWN(ROUND(L164*Q164,0),0)*AB164,"")</f>
        <v/>
      </c>
      <c r="AE164" s="463" t="str">
        <f t="shared" si="283"/>
        <v/>
      </c>
      <c r="AF164" s="464"/>
      <c r="AG164" s="374"/>
      <c r="AH164" s="382"/>
      <c r="AI164" s="379"/>
      <c r="AJ164" s="380"/>
      <c r="AK164" s="360"/>
      <c r="AL164" s="361"/>
      <c r="AM164" s="465" t="str">
        <f t="shared" ref="AM164" si="477">IF(AO164="","",IF(Q164&lt;O164,"！加算の要件上は問題ありませんが、令和６年３月と比較して４・５月に加算率が下がる計画になっています。",""))</f>
        <v/>
      </c>
      <c r="AO164" s="466" t="str">
        <f>IF(K164&lt;&gt;"","P列・R列に色付け","")</f>
        <v/>
      </c>
      <c r="AP164" s="467" t="str">
        <f>IFERROR(VLOOKUP(K164,【参考】数式用!$AH$2:$AI$34,2,FALSE),"")</f>
        <v/>
      </c>
      <c r="AQ164" s="469" t="str">
        <f>P164&amp;P165&amp;P166</f>
        <v/>
      </c>
      <c r="AR164" s="467" t="str">
        <f t="shared" ref="AR164" si="478">IF(AF166&lt;&gt;0,IF(AG166="○","入力済","未入力"),"")</f>
        <v/>
      </c>
      <c r="AS164" s="468" t="str">
        <f>IF(OR(P164="処遇加算Ⅰ",P164="処遇加算Ⅱ"),IF(OR(AH164="○",AH164="令和６年度中に満たす"),"入力済","未入力"),"")</f>
        <v/>
      </c>
      <c r="AT164" s="469" t="str">
        <f>IF(P164="処遇加算Ⅲ",IF(AI164="○","入力済","未入力"),"")</f>
        <v/>
      </c>
      <c r="AU164" s="467" t="str">
        <f>IF(P164="処遇加算Ⅰ",IF(OR(AJ164="○",AJ164="令和６年度中に満たす"),"入力済","未入力"),"")</f>
        <v/>
      </c>
      <c r="AV164" s="467" t="str">
        <f t="shared" ref="AV164" si="479">IF(OR(P165="特定加算Ⅰ",P165="特定加算Ⅱ"),1,"")</f>
        <v/>
      </c>
      <c r="AW164" s="452" t="str">
        <f>IF(P165="特定加算Ⅰ",IF(AL165="","未入力","入力済"),"")</f>
        <v/>
      </c>
      <c r="AX164" s="452" t="str">
        <f>G164</f>
        <v/>
      </c>
    </row>
    <row r="165" spans="1:50" ht="32.1" customHeight="1">
      <c r="A165" s="1267"/>
      <c r="B165" s="1204"/>
      <c r="C165" s="1204"/>
      <c r="D165" s="1204"/>
      <c r="E165" s="1204"/>
      <c r="F165" s="1204"/>
      <c r="G165" s="1207"/>
      <c r="H165" s="1207"/>
      <c r="I165" s="1207"/>
      <c r="J165" s="1207"/>
      <c r="K165" s="1207"/>
      <c r="L165" s="1210"/>
      <c r="M165" s="470" t="s">
        <v>121</v>
      </c>
      <c r="N165" s="76"/>
      <c r="O165" s="471" t="str">
        <f>IFERROR(VLOOKUP(K164,【参考】数式用!$A$5:$J$37,MATCH(N165,【参考】数式用!$B$4:$J$4,0)+1,0),"")</f>
        <v/>
      </c>
      <c r="P165" s="76"/>
      <c r="Q165" s="471" t="str">
        <f>IFERROR(VLOOKUP(K164,【参考】数式用!$A$5:$J$37,MATCH(P165,【参考】数式用!$B$4:$J$4,0)+1,0),"")</f>
        <v/>
      </c>
      <c r="R165" s="96" t="s">
        <v>15</v>
      </c>
      <c r="S165" s="472">
        <v>6</v>
      </c>
      <c r="T165" s="97" t="s">
        <v>10</v>
      </c>
      <c r="U165" s="58">
        <v>4</v>
      </c>
      <c r="V165" s="97" t="s">
        <v>38</v>
      </c>
      <c r="W165" s="472">
        <v>6</v>
      </c>
      <c r="X165" s="97" t="s">
        <v>10</v>
      </c>
      <c r="Y165" s="58">
        <v>5</v>
      </c>
      <c r="Z165" s="97" t="s">
        <v>13</v>
      </c>
      <c r="AA165" s="473" t="s">
        <v>20</v>
      </c>
      <c r="AB165" s="474">
        <f t="shared" si="461"/>
        <v>2</v>
      </c>
      <c r="AC165" s="97" t="s">
        <v>33</v>
      </c>
      <c r="AD165" s="475" t="str">
        <f t="shared" ref="AD165" si="480">IFERROR(ROUNDDOWN(ROUND(L164*Q165,0),0)*AB165,"")</f>
        <v/>
      </c>
      <c r="AE165" s="476" t="str">
        <f t="shared" si="288"/>
        <v/>
      </c>
      <c r="AF165" s="477"/>
      <c r="AG165" s="362"/>
      <c r="AH165" s="363"/>
      <c r="AI165" s="364"/>
      <c r="AJ165" s="365"/>
      <c r="AK165" s="366"/>
      <c r="AL165" s="367"/>
      <c r="AM165" s="478"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79"/>
      <c r="AO165" s="466" t="str">
        <f>IF(K164&lt;&gt;"","P列・R列に色付け","")</f>
        <v/>
      </c>
      <c r="AX165" s="452" t="str">
        <f>G164</f>
        <v/>
      </c>
    </row>
    <row r="166" spans="1:50" ht="32.1" customHeight="1" thickBot="1">
      <c r="A166" s="1268"/>
      <c r="B166" s="1205"/>
      <c r="C166" s="1205"/>
      <c r="D166" s="1205"/>
      <c r="E166" s="1205"/>
      <c r="F166" s="1205"/>
      <c r="G166" s="1208"/>
      <c r="H166" s="1208"/>
      <c r="I166" s="1208"/>
      <c r="J166" s="1208"/>
      <c r="K166" s="1208"/>
      <c r="L166" s="1211"/>
      <c r="M166" s="480" t="s">
        <v>114</v>
      </c>
      <c r="N166" s="79"/>
      <c r="O166" s="481" t="str">
        <f>IFERROR(VLOOKUP(K164,【参考】数式用!$A$5:$J$37,MATCH(N166,【参考】数式用!$B$4:$J$4,0)+1,0),"")</f>
        <v/>
      </c>
      <c r="P166" s="77"/>
      <c r="Q166" s="481" t="str">
        <f>IFERROR(VLOOKUP(K164,【参考】数式用!$A$5:$J$37,MATCH(P166,【参考】数式用!$B$4:$J$4,0)+1,0),"")</f>
        <v/>
      </c>
      <c r="R166" s="482" t="s">
        <v>15</v>
      </c>
      <c r="S166" s="483">
        <v>6</v>
      </c>
      <c r="T166" s="484" t="s">
        <v>10</v>
      </c>
      <c r="U166" s="59">
        <v>4</v>
      </c>
      <c r="V166" s="484" t="s">
        <v>38</v>
      </c>
      <c r="W166" s="483">
        <v>6</v>
      </c>
      <c r="X166" s="484" t="s">
        <v>10</v>
      </c>
      <c r="Y166" s="59">
        <v>5</v>
      </c>
      <c r="Z166" s="484" t="s">
        <v>13</v>
      </c>
      <c r="AA166" s="485" t="s">
        <v>20</v>
      </c>
      <c r="AB166" s="486">
        <f t="shared" si="461"/>
        <v>2</v>
      </c>
      <c r="AC166" s="484" t="s">
        <v>33</v>
      </c>
      <c r="AD166" s="487" t="str">
        <f t="shared" ref="AD166" si="482">IFERROR(ROUNDDOWN(ROUND(L164*Q166,0),0)*AB166,"")</f>
        <v/>
      </c>
      <c r="AE166" s="488" t="str">
        <f t="shared" si="291"/>
        <v/>
      </c>
      <c r="AF166" s="489">
        <f t="shared" si="346"/>
        <v>0</v>
      </c>
      <c r="AG166" s="368"/>
      <c r="AH166" s="369"/>
      <c r="AI166" s="370"/>
      <c r="AJ166" s="371"/>
      <c r="AK166" s="372"/>
      <c r="AL166" s="373"/>
      <c r="AM166" s="490"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1" t="str">
        <f>IF(K164&lt;&gt;"","P列・R列に色付け","")</f>
        <v/>
      </c>
      <c r="AP166" s="492"/>
      <c r="AQ166" s="492"/>
      <c r="AW166" s="493"/>
      <c r="AX166" s="452" t="str">
        <f>G164</f>
        <v/>
      </c>
    </row>
    <row r="167" spans="1:50" ht="32.1" customHeight="1">
      <c r="A167" s="1266">
        <v>52</v>
      </c>
      <c r="B167" s="1203" t="str">
        <f>IF(基本情報入力シート!C105="","",基本情報入力シート!C105)</f>
        <v/>
      </c>
      <c r="C167" s="1203"/>
      <c r="D167" s="1203"/>
      <c r="E167" s="1203"/>
      <c r="F167" s="1203"/>
      <c r="G167" s="1206" t="str">
        <f>IF(基本情報入力シート!M105="","",基本情報入力シート!M105)</f>
        <v/>
      </c>
      <c r="H167" s="1206" t="str">
        <f>IF(基本情報入力シート!R105="","",基本情報入力シート!R105)</f>
        <v/>
      </c>
      <c r="I167" s="1206" t="str">
        <f>IF(基本情報入力シート!W105="","",基本情報入力シート!W105)</f>
        <v/>
      </c>
      <c r="J167" s="1206" t="str">
        <f>IF(基本情報入力シート!X105="","",基本情報入力シート!X105)</f>
        <v/>
      </c>
      <c r="K167" s="1206" t="str">
        <f>IF(基本情報入力シート!Y105="","",基本情報入力シート!Y105)</f>
        <v/>
      </c>
      <c r="L167" s="1209" t="str">
        <f>IF(基本情報入力シート!AB105="","",基本情報入力シート!AB105)</f>
        <v/>
      </c>
      <c r="M167" s="456" t="s">
        <v>132</v>
      </c>
      <c r="N167" s="75"/>
      <c r="O167" s="457" t="str">
        <f>IFERROR(VLOOKUP(K167,【参考】数式用!$A$5:$J$37,MATCH(N167,【参考】数式用!$B$4:$J$4,0)+1,0),"")</f>
        <v/>
      </c>
      <c r="P167" s="75"/>
      <c r="Q167" s="457" t="str">
        <f>IFERROR(VLOOKUP(K167,【参考】数式用!$A$5:$J$37,MATCH(P167,【参考】数式用!$B$4:$J$4,0)+1,0),"")</f>
        <v/>
      </c>
      <c r="R167" s="458" t="s">
        <v>15</v>
      </c>
      <c r="S167" s="459">
        <v>6</v>
      </c>
      <c r="T167" s="125" t="s">
        <v>10</v>
      </c>
      <c r="U167" s="39">
        <v>4</v>
      </c>
      <c r="V167" s="125" t="s">
        <v>38</v>
      </c>
      <c r="W167" s="459">
        <v>6</v>
      </c>
      <c r="X167" s="125" t="s">
        <v>10</v>
      </c>
      <c r="Y167" s="39">
        <v>5</v>
      </c>
      <c r="Z167" s="125" t="s">
        <v>13</v>
      </c>
      <c r="AA167" s="460" t="s">
        <v>20</v>
      </c>
      <c r="AB167" s="461">
        <f t="shared" si="461"/>
        <v>2</v>
      </c>
      <c r="AC167" s="125" t="s">
        <v>33</v>
      </c>
      <c r="AD167" s="462" t="str">
        <f t="shared" ref="AD167" si="484">IFERROR(ROUNDDOWN(ROUND(L167*Q167,0),0)*AB167,"")</f>
        <v/>
      </c>
      <c r="AE167" s="463" t="str">
        <f t="shared" ref="AE167" si="485">IFERROR(ROUNDDOWN(ROUND(L167*(Q167-O167),0),0)*AB167,"")</f>
        <v/>
      </c>
      <c r="AF167" s="464"/>
      <c r="AG167" s="374"/>
      <c r="AH167" s="382"/>
      <c r="AI167" s="379"/>
      <c r="AJ167" s="380"/>
      <c r="AK167" s="360"/>
      <c r="AL167" s="361"/>
      <c r="AM167" s="465" t="str">
        <f t="shared" ref="AM167" si="486">IF(AO167="","",IF(Q167&lt;O167,"！加算の要件上は問題ありませんが、令和６年３月と比較して４・５月に加算率が下がる計画になっています。",""))</f>
        <v/>
      </c>
      <c r="AO167" s="466" t="str">
        <f>IF(K167&lt;&gt;"","P列・R列に色付け","")</f>
        <v/>
      </c>
      <c r="AP167" s="467" t="str">
        <f>IFERROR(VLOOKUP(K167,【参考】数式用!$AH$2:$AI$34,2,FALSE),"")</f>
        <v/>
      </c>
      <c r="AQ167" s="469" t="str">
        <f>P167&amp;P168&amp;P169</f>
        <v/>
      </c>
      <c r="AR167" s="467" t="str">
        <f t="shared" ref="AR167" si="487">IF(AF169&lt;&gt;0,IF(AG169="○","入力済","未入力"),"")</f>
        <v/>
      </c>
      <c r="AS167" s="468" t="str">
        <f>IF(OR(P167="処遇加算Ⅰ",P167="処遇加算Ⅱ"),IF(OR(AH167="○",AH167="令和６年度中に満たす"),"入力済","未入力"),"")</f>
        <v/>
      </c>
      <c r="AT167" s="469" t="str">
        <f>IF(P167="処遇加算Ⅲ",IF(AI167="○","入力済","未入力"),"")</f>
        <v/>
      </c>
      <c r="AU167" s="467" t="str">
        <f>IF(P167="処遇加算Ⅰ",IF(OR(AJ167="○",AJ167="令和６年度中に満たす"),"入力済","未入力"),"")</f>
        <v/>
      </c>
      <c r="AV167" s="467" t="str">
        <f t="shared" ref="AV167" si="488">IF(OR(P168="特定加算Ⅰ",P168="特定加算Ⅱ"),1,"")</f>
        <v/>
      </c>
      <c r="AW167" s="452" t="str">
        <f>IF(P168="特定加算Ⅰ",IF(AL168="","未入力","入力済"),"")</f>
        <v/>
      </c>
      <c r="AX167" s="452" t="str">
        <f>G167</f>
        <v/>
      </c>
    </row>
    <row r="168" spans="1:50" ht="32.1" customHeight="1">
      <c r="A168" s="1267"/>
      <c r="B168" s="1204"/>
      <c r="C168" s="1204"/>
      <c r="D168" s="1204"/>
      <c r="E168" s="1204"/>
      <c r="F168" s="1204"/>
      <c r="G168" s="1207"/>
      <c r="H168" s="1207"/>
      <c r="I168" s="1207"/>
      <c r="J168" s="1207"/>
      <c r="K168" s="1207"/>
      <c r="L168" s="1210"/>
      <c r="M168" s="470" t="s">
        <v>121</v>
      </c>
      <c r="N168" s="76"/>
      <c r="O168" s="471" t="str">
        <f>IFERROR(VLOOKUP(K167,【参考】数式用!$A$5:$J$37,MATCH(N168,【参考】数式用!$B$4:$J$4,0)+1,0),"")</f>
        <v/>
      </c>
      <c r="P168" s="76"/>
      <c r="Q168" s="471" t="str">
        <f>IFERROR(VLOOKUP(K167,【参考】数式用!$A$5:$J$37,MATCH(P168,【参考】数式用!$B$4:$J$4,0)+1,0),"")</f>
        <v/>
      </c>
      <c r="R168" s="96" t="s">
        <v>15</v>
      </c>
      <c r="S168" s="472">
        <v>6</v>
      </c>
      <c r="T168" s="97" t="s">
        <v>10</v>
      </c>
      <c r="U168" s="58">
        <v>4</v>
      </c>
      <c r="V168" s="97" t="s">
        <v>38</v>
      </c>
      <c r="W168" s="472">
        <v>6</v>
      </c>
      <c r="X168" s="97" t="s">
        <v>10</v>
      </c>
      <c r="Y168" s="58">
        <v>5</v>
      </c>
      <c r="Z168" s="97" t="s">
        <v>13</v>
      </c>
      <c r="AA168" s="473" t="s">
        <v>20</v>
      </c>
      <c r="AB168" s="474">
        <f t="shared" si="461"/>
        <v>2</v>
      </c>
      <c r="AC168" s="97" t="s">
        <v>33</v>
      </c>
      <c r="AD168" s="475" t="str">
        <f t="shared" ref="AD168" si="489">IFERROR(ROUNDDOWN(ROUND(L167*Q168,0),0)*AB168,"")</f>
        <v/>
      </c>
      <c r="AE168" s="476" t="str">
        <f t="shared" ref="AE168" si="490">IFERROR(ROUNDDOWN(ROUND(L167*(Q168-O168),0),0)*AB168,"")</f>
        <v/>
      </c>
      <c r="AF168" s="477"/>
      <c r="AG168" s="362"/>
      <c r="AH168" s="363"/>
      <c r="AI168" s="364"/>
      <c r="AJ168" s="365"/>
      <c r="AK168" s="366"/>
      <c r="AL168" s="367"/>
      <c r="AM168" s="478"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79"/>
      <c r="AO168" s="466" t="str">
        <f>IF(K167&lt;&gt;"","P列・R列に色付け","")</f>
        <v/>
      </c>
      <c r="AX168" s="452" t="str">
        <f>G167</f>
        <v/>
      </c>
    </row>
    <row r="169" spans="1:50" ht="32.1" customHeight="1" thickBot="1">
      <c r="A169" s="1268"/>
      <c r="B169" s="1205"/>
      <c r="C169" s="1205"/>
      <c r="D169" s="1205"/>
      <c r="E169" s="1205"/>
      <c r="F169" s="1205"/>
      <c r="G169" s="1208"/>
      <c r="H169" s="1208"/>
      <c r="I169" s="1208"/>
      <c r="J169" s="1208"/>
      <c r="K169" s="1208"/>
      <c r="L169" s="1211"/>
      <c r="M169" s="480" t="s">
        <v>114</v>
      </c>
      <c r="N169" s="79"/>
      <c r="O169" s="481" t="str">
        <f>IFERROR(VLOOKUP(K167,【参考】数式用!$A$5:$J$37,MATCH(N169,【参考】数式用!$B$4:$J$4,0)+1,0),"")</f>
        <v/>
      </c>
      <c r="P169" s="77"/>
      <c r="Q169" s="481" t="str">
        <f>IFERROR(VLOOKUP(K167,【参考】数式用!$A$5:$J$37,MATCH(P169,【参考】数式用!$B$4:$J$4,0)+1,0),"")</f>
        <v/>
      </c>
      <c r="R169" s="482" t="s">
        <v>15</v>
      </c>
      <c r="S169" s="483">
        <v>6</v>
      </c>
      <c r="T169" s="484" t="s">
        <v>10</v>
      </c>
      <c r="U169" s="59">
        <v>4</v>
      </c>
      <c r="V169" s="484" t="s">
        <v>38</v>
      </c>
      <c r="W169" s="483">
        <v>6</v>
      </c>
      <c r="X169" s="484" t="s">
        <v>10</v>
      </c>
      <c r="Y169" s="59">
        <v>5</v>
      </c>
      <c r="Z169" s="484" t="s">
        <v>13</v>
      </c>
      <c r="AA169" s="485" t="s">
        <v>20</v>
      </c>
      <c r="AB169" s="486">
        <f t="shared" si="461"/>
        <v>2</v>
      </c>
      <c r="AC169" s="484" t="s">
        <v>33</v>
      </c>
      <c r="AD169" s="487" t="str">
        <f t="shared" ref="AD169" si="492">IFERROR(ROUNDDOWN(ROUND(L167*Q169,0),0)*AB169,"")</f>
        <v/>
      </c>
      <c r="AE169" s="488" t="str">
        <f t="shared" ref="AE169" si="493">IFERROR(ROUNDDOWN(ROUND(L167*(Q169-O169),0),0)*AB169,"")</f>
        <v/>
      </c>
      <c r="AF169" s="489">
        <f t="shared" si="346"/>
        <v>0</v>
      </c>
      <c r="AG169" s="368"/>
      <c r="AH169" s="369"/>
      <c r="AI169" s="370"/>
      <c r="AJ169" s="371"/>
      <c r="AK169" s="372"/>
      <c r="AL169" s="373"/>
      <c r="AM169" s="490"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1" t="str">
        <f>IF(K167&lt;&gt;"","P列・R列に色付け","")</f>
        <v/>
      </c>
      <c r="AP169" s="492"/>
      <c r="AQ169" s="492"/>
      <c r="AW169" s="493"/>
      <c r="AX169" s="452" t="str">
        <f>G167</f>
        <v/>
      </c>
    </row>
    <row r="170" spans="1:50" ht="32.1" customHeight="1">
      <c r="A170" s="1266">
        <v>53</v>
      </c>
      <c r="B170" s="1203" t="str">
        <f>IF(基本情報入力シート!C106="","",基本情報入力シート!C106)</f>
        <v/>
      </c>
      <c r="C170" s="1203"/>
      <c r="D170" s="1203"/>
      <c r="E170" s="1203"/>
      <c r="F170" s="1203"/>
      <c r="G170" s="1206" t="str">
        <f>IF(基本情報入力シート!M106="","",基本情報入力シート!M106)</f>
        <v/>
      </c>
      <c r="H170" s="1206" t="str">
        <f>IF(基本情報入力シート!R106="","",基本情報入力シート!R106)</f>
        <v/>
      </c>
      <c r="I170" s="1206" t="str">
        <f>IF(基本情報入力シート!W106="","",基本情報入力シート!W106)</f>
        <v/>
      </c>
      <c r="J170" s="1206" t="str">
        <f>IF(基本情報入力シート!X106="","",基本情報入力シート!X106)</f>
        <v/>
      </c>
      <c r="K170" s="1206" t="str">
        <f>IF(基本情報入力シート!Y106="","",基本情報入力シート!Y106)</f>
        <v/>
      </c>
      <c r="L170" s="1209" t="str">
        <f>IF(基本情報入力シート!AB106="","",基本情報入力シート!AB106)</f>
        <v/>
      </c>
      <c r="M170" s="456" t="s">
        <v>132</v>
      </c>
      <c r="N170" s="75"/>
      <c r="O170" s="457" t="str">
        <f>IFERROR(VLOOKUP(K170,【参考】数式用!$A$5:$J$37,MATCH(N170,【参考】数式用!$B$4:$J$4,0)+1,0),"")</f>
        <v/>
      </c>
      <c r="P170" s="75"/>
      <c r="Q170" s="457" t="str">
        <f>IFERROR(VLOOKUP(K170,【参考】数式用!$A$5:$J$37,MATCH(P170,【参考】数式用!$B$4:$J$4,0)+1,0),"")</f>
        <v/>
      </c>
      <c r="R170" s="458" t="s">
        <v>15</v>
      </c>
      <c r="S170" s="459">
        <v>6</v>
      </c>
      <c r="T170" s="125" t="s">
        <v>10</v>
      </c>
      <c r="U170" s="39">
        <v>4</v>
      </c>
      <c r="V170" s="125" t="s">
        <v>38</v>
      </c>
      <c r="W170" s="459">
        <v>6</v>
      </c>
      <c r="X170" s="125" t="s">
        <v>10</v>
      </c>
      <c r="Y170" s="39">
        <v>5</v>
      </c>
      <c r="Z170" s="125" t="s">
        <v>13</v>
      </c>
      <c r="AA170" s="460" t="s">
        <v>20</v>
      </c>
      <c r="AB170" s="461">
        <f t="shared" si="461"/>
        <v>2</v>
      </c>
      <c r="AC170" s="125" t="s">
        <v>33</v>
      </c>
      <c r="AD170" s="462" t="str">
        <f t="shared" ref="AD170" si="495">IFERROR(ROUNDDOWN(ROUND(L170*Q170,0),0)*AB170,"")</f>
        <v/>
      </c>
      <c r="AE170" s="463" t="str">
        <f t="shared" ref="AE170:AE233" si="496">IFERROR(ROUNDDOWN(ROUND(L170*(Q170-O170),0),0)*AB170,"")</f>
        <v/>
      </c>
      <c r="AF170" s="464"/>
      <c r="AG170" s="374"/>
      <c r="AH170" s="382"/>
      <c r="AI170" s="379"/>
      <c r="AJ170" s="380"/>
      <c r="AK170" s="360"/>
      <c r="AL170" s="361"/>
      <c r="AM170" s="465" t="str">
        <f t="shared" ref="AM170" si="497">IF(AO170="","",IF(Q170&lt;O170,"！加算の要件上は問題ありませんが、令和６年３月と比較して４・５月に加算率が下がる計画になっています。",""))</f>
        <v/>
      </c>
      <c r="AO170" s="466" t="str">
        <f>IF(K170&lt;&gt;"","P列・R列に色付け","")</f>
        <v/>
      </c>
      <c r="AP170" s="467" t="str">
        <f>IFERROR(VLOOKUP(K170,【参考】数式用!$AH$2:$AI$34,2,FALSE),"")</f>
        <v/>
      </c>
      <c r="AQ170" s="469" t="str">
        <f>P170&amp;P171&amp;P172</f>
        <v/>
      </c>
      <c r="AR170" s="467" t="str">
        <f t="shared" ref="AR170" si="498">IF(AF172&lt;&gt;0,IF(AG172="○","入力済","未入力"),"")</f>
        <v/>
      </c>
      <c r="AS170" s="468" t="str">
        <f>IF(OR(P170="処遇加算Ⅰ",P170="処遇加算Ⅱ"),IF(OR(AH170="○",AH170="令和６年度中に満たす"),"入力済","未入力"),"")</f>
        <v/>
      </c>
      <c r="AT170" s="469" t="str">
        <f>IF(P170="処遇加算Ⅲ",IF(AI170="○","入力済","未入力"),"")</f>
        <v/>
      </c>
      <c r="AU170" s="467" t="str">
        <f>IF(P170="処遇加算Ⅰ",IF(OR(AJ170="○",AJ170="令和６年度中に満たす"),"入力済","未入力"),"")</f>
        <v/>
      </c>
      <c r="AV170" s="467" t="str">
        <f t="shared" ref="AV170" si="499">IF(OR(P171="特定加算Ⅰ",P171="特定加算Ⅱ"),1,"")</f>
        <v/>
      </c>
      <c r="AW170" s="452" t="str">
        <f>IF(P171="特定加算Ⅰ",IF(AL171="","未入力","入力済"),"")</f>
        <v/>
      </c>
      <c r="AX170" s="452" t="str">
        <f>G170</f>
        <v/>
      </c>
    </row>
    <row r="171" spans="1:50" ht="32.1" customHeight="1">
      <c r="A171" s="1267"/>
      <c r="B171" s="1204"/>
      <c r="C171" s="1204"/>
      <c r="D171" s="1204"/>
      <c r="E171" s="1204"/>
      <c r="F171" s="1204"/>
      <c r="G171" s="1207"/>
      <c r="H171" s="1207"/>
      <c r="I171" s="1207"/>
      <c r="J171" s="1207"/>
      <c r="K171" s="1207"/>
      <c r="L171" s="1210"/>
      <c r="M171" s="470" t="s">
        <v>121</v>
      </c>
      <c r="N171" s="76"/>
      <c r="O171" s="471" t="str">
        <f>IFERROR(VLOOKUP(K170,【参考】数式用!$A$5:$J$37,MATCH(N171,【参考】数式用!$B$4:$J$4,0)+1,0),"")</f>
        <v/>
      </c>
      <c r="P171" s="76"/>
      <c r="Q171" s="471" t="str">
        <f>IFERROR(VLOOKUP(K170,【参考】数式用!$A$5:$J$37,MATCH(P171,【参考】数式用!$B$4:$J$4,0)+1,0),"")</f>
        <v/>
      </c>
      <c r="R171" s="96" t="s">
        <v>15</v>
      </c>
      <c r="S171" s="472">
        <v>6</v>
      </c>
      <c r="T171" s="97" t="s">
        <v>10</v>
      </c>
      <c r="U171" s="58">
        <v>4</v>
      </c>
      <c r="V171" s="97" t="s">
        <v>38</v>
      </c>
      <c r="W171" s="472">
        <v>6</v>
      </c>
      <c r="X171" s="97" t="s">
        <v>10</v>
      </c>
      <c r="Y171" s="58">
        <v>5</v>
      </c>
      <c r="Z171" s="97" t="s">
        <v>13</v>
      </c>
      <c r="AA171" s="473" t="s">
        <v>20</v>
      </c>
      <c r="AB171" s="474">
        <f t="shared" si="461"/>
        <v>2</v>
      </c>
      <c r="AC171" s="97" t="s">
        <v>33</v>
      </c>
      <c r="AD171" s="475" t="str">
        <f t="shared" ref="AD171" si="500">IFERROR(ROUNDDOWN(ROUND(L170*Q171,0),0)*AB171,"")</f>
        <v/>
      </c>
      <c r="AE171" s="476" t="str">
        <f t="shared" ref="AE171:AE234" si="501">IFERROR(ROUNDDOWN(ROUND(L170*(Q171-O171),0),0)*AB171,"")</f>
        <v/>
      </c>
      <c r="AF171" s="477"/>
      <c r="AG171" s="362"/>
      <c r="AH171" s="363"/>
      <c r="AI171" s="364"/>
      <c r="AJ171" s="365"/>
      <c r="AK171" s="366"/>
      <c r="AL171" s="367"/>
      <c r="AM171" s="478"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79"/>
      <c r="AO171" s="466" t="str">
        <f>IF(K170&lt;&gt;"","P列・R列に色付け","")</f>
        <v/>
      </c>
      <c r="AX171" s="452" t="str">
        <f>G170</f>
        <v/>
      </c>
    </row>
    <row r="172" spans="1:50" ht="32.1" customHeight="1" thickBot="1">
      <c r="A172" s="1268"/>
      <c r="B172" s="1205"/>
      <c r="C172" s="1205"/>
      <c r="D172" s="1205"/>
      <c r="E172" s="1205"/>
      <c r="F172" s="1205"/>
      <c r="G172" s="1208"/>
      <c r="H172" s="1208"/>
      <c r="I172" s="1208"/>
      <c r="J172" s="1208"/>
      <c r="K172" s="1208"/>
      <c r="L172" s="1211"/>
      <c r="M172" s="480" t="s">
        <v>114</v>
      </c>
      <c r="N172" s="79"/>
      <c r="O172" s="481" t="str">
        <f>IFERROR(VLOOKUP(K170,【参考】数式用!$A$5:$J$37,MATCH(N172,【参考】数式用!$B$4:$J$4,0)+1,0),"")</f>
        <v/>
      </c>
      <c r="P172" s="77"/>
      <c r="Q172" s="481" t="str">
        <f>IFERROR(VLOOKUP(K170,【参考】数式用!$A$5:$J$37,MATCH(P172,【参考】数式用!$B$4:$J$4,0)+1,0),"")</f>
        <v/>
      </c>
      <c r="R172" s="482" t="s">
        <v>15</v>
      </c>
      <c r="S172" s="483">
        <v>6</v>
      </c>
      <c r="T172" s="484" t="s">
        <v>10</v>
      </c>
      <c r="U172" s="59">
        <v>4</v>
      </c>
      <c r="V172" s="484" t="s">
        <v>38</v>
      </c>
      <c r="W172" s="483">
        <v>6</v>
      </c>
      <c r="X172" s="484" t="s">
        <v>10</v>
      </c>
      <c r="Y172" s="59">
        <v>5</v>
      </c>
      <c r="Z172" s="484" t="s">
        <v>13</v>
      </c>
      <c r="AA172" s="485" t="s">
        <v>20</v>
      </c>
      <c r="AB172" s="486">
        <f t="shared" si="461"/>
        <v>2</v>
      </c>
      <c r="AC172" s="484" t="s">
        <v>33</v>
      </c>
      <c r="AD172" s="487" t="str">
        <f t="shared" ref="AD172" si="503">IFERROR(ROUNDDOWN(ROUND(L170*Q172,0),0)*AB172,"")</f>
        <v/>
      </c>
      <c r="AE172" s="488" t="str">
        <f t="shared" ref="AE172:AE235" si="504">IFERROR(ROUNDDOWN(ROUND(L170*(Q172-O172),0),0)*AB172,"")</f>
        <v/>
      </c>
      <c r="AF172" s="489">
        <f t="shared" si="346"/>
        <v>0</v>
      </c>
      <c r="AG172" s="368"/>
      <c r="AH172" s="369"/>
      <c r="AI172" s="370"/>
      <c r="AJ172" s="371"/>
      <c r="AK172" s="372"/>
      <c r="AL172" s="373"/>
      <c r="AM172" s="490"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1" t="str">
        <f>IF(K170&lt;&gt;"","P列・R列に色付け","")</f>
        <v/>
      </c>
      <c r="AP172" s="492"/>
      <c r="AQ172" s="492"/>
      <c r="AW172" s="493"/>
      <c r="AX172" s="452" t="str">
        <f>G170</f>
        <v/>
      </c>
    </row>
    <row r="173" spans="1:50" ht="32.1" customHeight="1">
      <c r="A173" s="1266">
        <v>54</v>
      </c>
      <c r="B173" s="1203" t="str">
        <f>IF(基本情報入力シート!C107="","",基本情報入力シート!C107)</f>
        <v/>
      </c>
      <c r="C173" s="1203"/>
      <c r="D173" s="1203"/>
      <c r="E173" s="1203"/>
      <c r="F173" s="1203"/>
      <c r="G173" s="1206" t="str">
        <f>IF(基本情報入力シート!M107="","",基本情報入力シート!M107)</f>
        <v/>
      </c>
      <c r="H173" s="1206" t="str">
        <f>IF(基本情報入力シート!R107="","",基本情報入力シート!R107)</f>
        <v/>
      </c>
      <c r="I173" s="1206" t="str">
        <f>IF(基本情報入力シート!W107="","",基本情報入力シート!W107)</f>
        <v/>
      </c>
      <c r="J173" s="1206" t="str">
        <f>IF(基本情報入力シート!X107="","",基本情報入力シート!X107)</f>
        <v/>
      </c>
      <c r="K173" s="1206" t="str">
        <f>IF(基本情報入力シート!Y107="","",基本情報入力シート!Y107)</f>
        <v/>
      </c>
      <c r="L173" s="1209" t="str">
        <f>IF(基本情報入力シート!AB107="","",基本情報入力シート!AB107)</f>
        <v/>
      </c>
      <c r="M173" s="456" t="s">
        <v>132</v>
      </c>
      <c r="N173" s="75"/>
      <c r="O173" s="457" t="str">
        <f>IFERROR(VLOOKUP(K173,【参考】数式用!$A$5:$J$37,MATCH(N173,【参考】数式用!$B$4:$J$4,0)+1,0),"")</f>
        <v/>
      </c>
      <c r="P173" s="75"/>
      <c r="Q173" s="457" t="str">
        <f>IFERROR(VLOOKUP(K173,【参考】数式用!$A$5:$J$37,MATCH(P173,【参考】数式用!$B$4:$J$4,0)+1,0),"")</f>
        <v/>
      </c>
      <c r="R173" s="458" t="s">
        <v>15</v>
      </c>
      <c r="S173" s="459">
        <v>6</v>
      </c>
      <c r="T173" s="125" t="s">
        <v>10</v>
      </c>
      <c r="U173" s="39">
        <v>4</v>
      </c>
      <c r="V173" s="125" t="s">
        <v>38</v>
      </c>
      <c r="W173" s="459">
        <v>6</v>
      </c>
      <c r="X173" s="125" t="s">
        <v>10</v>
      </c>
      <c r="Y173" s="39">
        <v>5</v>
      </c>
      <c r="Z173" s="125" t="s">
        <v>13</v>
      </c>
      <c r="AA173" s="460" t="s">
        <v>20</v>
      </c>
      <c r="AB173" s="461">
        <f t="shared" si="461"/>
        <v>2</v>
      </c>
      <c r="AC173" s="125" t="s">
        <v>33</v>
      </c>
      <c r="AD173" s="462" t="str">
        <f t="shared" ref="AD173" si="506">IFERROR(ROUNDDOWN(ROUND(L173*Q173,0),0)*AB173,"")</f>
        <v/>
      </c>
      <c r="AE173" s="463" t="str">
        <f t="shared" ref="AE173:AE236" si="507">IFERROR(ROUNDDOWN(ROUND(L173*(Q173-O173),0),0)*AB173,"")</f>
        <v/>
      </c>
      <c r="AF173" s="464"/>
      <c r="AG173" s="374"/>
      <c r="AH173" s="382"/>
      <c r="AI173" s="379"/>
      <c r="AJ173" s="380"/>
      <c r="AK173" s="360"/>
      <c r="AL173" s="361"/>
      <c r="AM173" s="465" t="str">
        <f t="shared" ref="AM173" si="508">IF(AO173="","",IF(Q173&lt;O173,"！加算の要件上は問題ありませんが、令和６年３月と比較して４・５月に加算率が下がる計画になっています。",""))</f>
        <v/>
      </c>
      <c r="AO173" s="466" t="str">
        <f>IF(K173&lt;&gt;"","P列・R列に色付け","")</f>
        <v/>
      </c>
      <c r="AP173" s="467" t="str">
        <f>IFERROR(VLOOKUP(K173,【参考】数式用!$AH$2:$AI$34,2,FALSE),"")</f>
        <v/>
      </c>
      <c r="AQ173" s="469" t="str">
        <f>P173&amp;P174&amp;P175</f>
        <v/>
      </c>
      <c r="AR173" s="467" t="str">
        <f t="shared" ref="AR173" si="509">IF(AF175&lt;&gt;0,IF(AG175="○","入力済","未入力"),"")</f>
        <v/>
      </c>
      <c r="AS173" s="468" t="str">
        <f>IF(OR(P173="処遇加算Ⅰ",P173="処遇加算Ⅱ"),IF(OR(AH173="○",AH173="令和６年度中に満たす"),"入力済","未入力"),"")</f>
        <v/>
      </c>
      <c r="AT173" s="469" t="str">
        <f>IF(P173="処遇加算Ⅲ",IF(AI173="○","入力済","未入力"),"")</f>
        <v/>
      </c>
      <c r="AU173" s="467" t="str">
        <f>IF(P173="処遇加算Ⅰ",IF(OR(AJ173="○",AJ173="令和６年度中に満たす"),"入力済","未入力"),"")</f>
        <v/>
      </c>
      <c r="AV173" s="467" t="str">
        <f t="shared" ref="AV173" si="510">IF(OR(P174="特定加算Ⅰ",P174="特定加算Ⅱ"),1,"")</f>
        <v/>
      </c>
      <c r="AW173" s="452" t="str">
        <f>IF(P174="特定加算Ⅰ",IF(AL174="","未入力","入力済"),"")</f>
        <v/>
      </c>
      <c r="AX173" s="452" t="str">
        <f>G173</f>
        <v/>
      </c>
    </row>
    <row r="174" spans="1:50" ht="32.1" customHeight="1">
      <c r="A174" s="1267"/>
      <c r="B174" s="1204"/>
      <c r="C174" s="1204"/>
      <c r="D174" s="1204"/>
      <c r="E174" s="1204"/>
      <c r="F174" s="1204"/>
      <c r="G174" s="1207"/>
      <c r="H174" s="1207"/>
      <c r="I174" s="1207"/>
      <c r="J174" s="1207"/>
      <c r="K174" s="1207"/>
      <c r="L174" s="1210"/>
      <c r="M174" s="470" t="s">
        <v>121</v>
      </c>
      <c r="N174" s="76"/>
      <c r="O174" s="471" t="str">
        <f>IFERROR(VLOOKUP(K173,【参考】数式用!$A$5:$J$37,MATCH(N174,【参考】数式用!$B$4:$J$4,0)+1,0),"")</f>
        <v/>
      </c>
      <c r="P174" s="76"/>
      <c r="Q174" s="471" t="str">
        <f>IFERROR(VLOOKUP(K173,【参考】数式用!$A$5:$J$37,MATCH(P174,【参考】数式用!$B$4:$J$4,0)+1,0),"")</f>
        <v/>
      </c>
      <c r="R174" s="96" t="s">
        <v>15</v>
      </c>
      <c r="S174" s="472">
        <v>6</v>
      </c>
      <c r="T174" s="97" t="s">
        <v>10</v>
      </c>
      <c r="U174" s="58">
        <v>4</v>
      </c>
      <c r="V174" s="97" t="s">
        <v>38</v>
      </c>
      <c r="W174" s="472">
        <v>6</v>
      </c>
      <c r="X174" s="97" t="s">
        <v>10</v>
      </c>
      <c r="Y174" s="58">
        <v>5</v>
      </c>
      <c r="Z174" s="97" t="s">
        <v>13</v>
      </c>
      <c r="AA174" s="473" t="s">
        <v>20</v>
      </c>
      <c r="AB174" s="474">
        <f t="shared" si="461"/>
        <v>2</v>
      </c>
      <c r="AC174" s="97" t="s">
        <v>33</v>
      </c>
      <c r="AD174" s="475" t="str">
        <f t="shared" ref="AD174" si="511">IFERROR(ROUNDDOWN(ROUND(L173*Q174,0),0)*AB174,"")</f>
        <v/>
      </c>
      <c r="AE174" s="476" t="str">
        <f t="shared" ref="AE174:AE237" si="512">IFERROR(ROUNDDOWN(ROUND(L173*(Q174-O174),0),0)*AB174,"")</f>
        <v/>
      </c>
      <c r="AF174" s="477"/>
      <c r="AG174" s="362"/>
      <c r="AH174" s="363"/>
      <c r="AI174" s="364"/>
      <c r="AJ174" s="365"/>
      <c r="AK174" s="366"/>
      <c r="AL174" s="367"/>
      <c r="AM174" s="478"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79"/>
      <c r="AO174" s="466" t="str">
        <f>IF(K173&lt;&gt;"","P列・R列に色付け","")</f>
        <v/>
      </c>
      <c r="AX174" s="452" t="str">
        <f>G173</f>
        <v/>
      </c>
    </row>
    <row r="175" spans="1:50" ht="32.1" customHeight="1" thickBot="1">
      <c r="A175" s="1268"/>
      <c r="B175" s="1205"/>
      <c r="C175" s="1205"/>
      <c r="D175" s="1205"/>
      <c r="E175" s="1205"/>
      <c r="F175" s="1205"/>
      <c r="G175" s="1208"/>
      <c r="H175" s="1208"/>
      <c r="I175" s="1208"/>
      <c r="J175" s="1208"/>
      <c r="K175" s="1208"/>
      <c r="L175" s="1211"/>
      <c r="M175" s="480" t="s">
        <v>114</v>
      </c>
      <c r="N175" s="79"/>
      <c r="O175" s="481" t="str">
        <f>IFERROR(VLOOKUP(K173,【参考】数式用!$A$5:$J$37,MATCH(N175,【参考】数式用!$B$4:$J$4,0)+1,0),"")</f>
        <v/>
      </c>
      <c r="P175" s="77"/>
      <c r="Q175" s="481" t="str">
        <f>IFERROR(VLOOKUP(K173,【参考】数式用!$A$5:$J$37,MATCH(P175,【参考】数式用!$B$4:$J$4,0)+1,0),"")</f>
        <v/>
      </c>
      <c r="R175" s="482" t="s">
        <v>15</v>
      </c>
      <c r="S175" s="483">
        <v>6</v>
      </c>
      <c r="T175" s="484" t="s">
        <v>10</v>
      </c>
      <c r="U175" s="59">
        <v>4</v>
      </c>
      <c r="V175" s="484" t="s">
        <v>38</v>
      </c>
      <c r="W175" s="483">
        <v>6</v>
      </c>
      <c r="X175" s="484" t="s">
        <v>10</v>
      </c>
      <c r="Y175" s="59">
        <v>5</v>
      </c>
      <c r="Z175" s="484" t="s">
        <v>13</v>
      </c>
      <c r="AA175" s="485" t="s">
        <v>20</v>
      </c>
      <c r="AB175" s="486">
        <f t="shared" si="461"/>
        <v>2</v>
      </c>
      <c r="AC175" s="484" t="s">
        <v>33</v>
      </c>
      <c r="AD175" s="487" t="str">
        <f t="shared" ref="AD175" si="514">IFERROR(ROUNDDOWN(ROUND(L173*Q175,0),0)*AB175,"")</f>
        <v/>
      </c>
      <c r="AE175" s="488" t="str">
        <f t="shared" ref="AE175:AE238" si="515">IFERROR(ROUNDDOWN(ROUND(L173*(Q175-O175),0),0)*AB175,"")</f>
        <v/>
      </c>
      <c r="AF175" s="489">
        <f t="shared" si="346"/>
        <v>0</v>
      </c>
      <c r="AG175" s="368"/>
      <c r="AH175" s="369"/>
      <c r="AI175" s="370"/>
      <c r="AJ175" s="371"/>
      <c r="AK175" s="372"/>
      <c r="AL175" s="373"/>
      <c r="AM175" s="490"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1" t="str">
        <f>IF(K173&lt;&gt;"","P列・R列に色付け","")</f>
        <v/>
      </c>
      <c r="AP175" s="492"/>
      <c r="AQ175" s="492"/>
      <c r="AW175" s="493"/>
      <c r="AX175" s="452" t="str">
        <f>G173</f>
        <v/>
      </c>
    </row>
    <row r="176" spans="1:50" ht="32.1" customHeight="1">
      <c r="A176" s="1266">
        <v>55</v>
      </c>
      <c r="B176" s="1203" t="str">
        <f>IF(基本情報入力シート!C108="","",基本情報入力シート!C108)</f>
        <v/>
      </c>
      <c r="C176" s="1203"/>
      <c r="D176" s="1203"/>
      <c r="E176" s="1203"/>
      <c r="F176" s="1203"/>
      <c r="G176" s="1206" t="str">
        <f>IF(基本情報入力シート!M108="","",基本情報入力シート!M108)</f>
        <v/>
      </c>
      <c r="H176" s="1206" t="str">
        <f>IF(基本情報入力シート!R108="","",基本情報入力シート!R108)</f>
        <v/>
      </c>
      <c r="I176" s="1206" t="str">
        <f>IF(基本情報入力シート!W108="","",基本情報入力シート!W108)</f>
        <v/>
      </c>
      <c r="J176" s="1206" t="str">
        <f>IF(基本情報入力シート!X108="","",基本情報入力シート!X108)</f>
        <v/>
      </c>
      <c r="K176" s="1206" t="str">
        <f>IF(基本情報入力シート!Y108="","",基本情報入力シート!Y108)</f>
        <v/>
      </c>
      <c r="L176" s="1209" t="str">
        <f>IF(基本情報入力シート!AB108="","",基本情報入力シート!AB108)</f>
        <v/>
      </c>
      <c r="M176" s="456" t="s">
        <v>132</v>
      </c>
      <c r="N176" s="75"/>
      <c r="O176" s="457" t="str">
        <f>IFERROR(VLOOKUP(K176,【参考】数式用!$A$5:$J$37,MATCH(N176,【参考】数式用!$B$4:$J$4,0)+1,0),"")</f>
        <v/>
      </c>
      <c r="P176" s="75"/>
      <c r="Q176" s="457" t="str">
        <f>IFERROR(VLOOKUP(K176,【参考】数式用!$A$5:$J$37,MATCH(P176,【参考】数式用!$B$4:$J$4,0)+1,0),"")</f>
        <v/>
      </c>
      <c r="R176" s="458" t="s">
        <v>15</v>
      </c>
      <c r="S176" s="459">
        <v>6</v>
      </c>
      <c r="T176" s="125" t="s">
        <v>10</v>
      </c>
      <c r="U176" s="39">
        <v>4</v>
      </c>
      <c r="V176" s="125" t="s">
        <v>38</v>
      </c>
      <c r="W176" s="459">
        <v>6</v>
      </c>
      <c r="X176" s="125" t="s">
        <v>10</v>
      </c>
      <c r="Y176" s="39">
        <v>5</v>
      </c>
      <c r="Z176" s="125" t="s">
        <v>13</v>
      </c>
      <c r="AA176" s="460" t="s">
        <v>20</v>
      </c>
      <c r="AB176" s="461">
        <f t="shared" si="461"/>
        <v>2</v>
      </c>
      <c r="AC176" s="125" t="s">
        <v>33</v>
      </c>
      <c r="AD176" s="462" t="str">
        <f t="shared" ref="AD176" si="517">IFERROR(ROUNDDOWN(ROUND(L176*Q176,0),0)*AB176,"")</f>
        <v/>
      </c>
      <c r="AE176" s="463" t="str">
        <f t="shared" ref="AE176" si="518">IFERROR(ROUNDDOWN(ROUND(L176*(Q176-O176),0),0)*AB176,"")</f>
        <v/>
      </c>
      <c r="AF176" s="464"/>
      <c r="AG176" s="374"/>
      <c r="AH176" s="382"/>
      <c r="AI176" s="379"/>
      <c r="AJ176" s="380"/>
      <c r="AK176" s="360"/>
      <c r="AL176" s="361"/>
      <c r="AM176" s="465" t="str">
        <f t="shared" ref="AM176" si="519">IF(AO176="","",IF(Q176&lt;O176,"！加算の要件上は問題ありませんが、令和６年３月と比較して４・５月に加算率が下がる計画になっています。",""))</f>
        <v/>
      </c>
      <c r="AO176" s="466" t="str">
        <f>IF(K176&lt;&gt;"","P列・R列に色付け","")</f>
        <v/>
      </c>
      <c r="AP176" s="467" t="str">
        <f>IFERROR(VLOOKUP(K176,【参考】数式用!$AH$2:$AI$34,2,FALSE),"")</f>
        <v/>
      </c>
      <c r="AQ176" s="469" t="str">
        <f>P176&amp;P177&amp;P178</f>
        <v/>
      </c>
      <c r="AR176" s="467" t="str">
        <f t="shared" ref="AR176" si="520">IF(AF178&lt;&gt;0,IF(AG178="○","入力済","未入力"),"")</f>
        <v/>
      </c>
      <c r="AS176" s="468" t="str">
        <f>IF(OR(P176="処遇加算Ⅰ",P176="処遇加算Ⅱ"),IF(OR(AH176="○",AH176="令和６年度中に満たす"),"入力済","未入力"),"")</f>
        <v/>
      </c>
      <c r="AT176" s="469" t="str">
        <f>IF(P176="処遇加算Ⅲ",IF(AI176="○","入力済","未入力"),"")</f>
        <v/>
      </c>
      <c r="AU176" s="467" t="str">
        <f>IF(P176="処遇加算Ⅰ",IF(OR(AJ176="○",AJ176="令和６年度中に満たす"),"入力済","未入力"),"")</f>
        <v/>
      </c>
      <c r="AV176" s="467" t="str">
        <f t="shared" ref="AV176" si="521">IF(OR(P177="特定加算Ⅰ",P177="特定加算Ⅱ"),1,"")</f>
        <v/>
      </c>
      <c r="AW176" s="452" t="str">
        <f>IF(P177="特定加算Ⅰ",IF(AL177="","未入力","入力済"),"")</f>
        <v/>
      </c>
      <c r="AX176" s="452" t="str">
        <f>G176</f>
        <v/>
      </c>
    </row>
    <row r="177" spans="1:50" ht="32.1" customHeight="1">
      <c r="A177" s="1267"/>
      <c r="B177" s="1204"/>
      <c r="C177" s="1204"/>
      <c r="D177" s="1204"/>
      <c r="E177" s="1204"/>
      <c r="F177" s="1204"/>
      <c r="G177" s="1207"/>
      <c r="H177" s="1207"/>
      <c r="I177" s="1207"/>
      <c r="J177" s="1207"/>
      <c r="K177" s="1207"/>
      <c r="L177" s="1210"/>
      <c r="M177" s="470" t="s">
        <v>121</v>
      </c>
      <c r="N177" s="76"/>
      <c r="O177" s="471" t="str">
        <f>IFERROR(VLOOKUP(K176,【参考】数式用!$A$5:$J$37,MATCH(N177,【参考】数式用!$B$4:$J$4,0)+1,0),"")</f>
        <v/>
      </c>
      <c r="P177" s="76"/>
      <c r="Q177" s="471" t="str">
        <f>IFERROR(VLOOKUP(K176,【参考】数式用!$A$5:$J$37,MATCH(P177,【参考】数式用!$B$4:$J$4,0)+1,0),"")</f>
        <v/>
      </c>
      <c r="R177" s="96" t="s">
        <v>15</v>
      </c>
      <c r="S177" s="472">
        <v>6</v>
      </c>
      <c r="T177" s="97" t="s">
        <v>10</v>
      </c>
      <c r="U177" s="58">
        <v>4</v>
      </c>
      <c r="V177" s="97" t="s">
        <v>38</v>
      </c>
      <c r="W177" s="472">
        <v>6</v>
      </c>
      <c r="X177" s="97" t="s">
        <v>10</v>
      </c>
      <c r="Y177" s="58">
        <v>5</v>
      </c>
      <c r="Z177" s="97" t="s">
        <v>13</v>
      </c>
      <c r="AA177" s="473" t="s">
        <v>20</v>
      </c>
      <c r="AB177" s="474">
        <f t="shared" si="461"/>
        <v>2</v>
      </c>
      <c r="AC177" s="97" t="s">
        <v>33</v>
      </c>
      <c r="AD177" s="475" t="str">
        <f t="shared" ref="AD177" si="522">IFERROR(ROUNDDOWN(ROUND(L176*Q177,0),0)*AB177,"")</f>
        <v/>
      </c>
      <c r="AE177" s="476" t="str">
        <f t="shared" ref="AE177" si="523">IFERROR(ROUNDDOWN(ROUND(L176*(Q177-O177),0),0)*AB177,"")</f>
        <v/>
      </c>
      <c r="AF177" s="477"/>
      <c r="AG177" s="362"/>
      <c r="AH177" s="363"/>
      <c r="AI177" s="364"/>
      <c r="AJ177" s="365"/>
      <c r="AK177" s="366"/>
      <c r="AL177" s="367"/>
      <c r="AM177" s="478"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79"/>
      <c r="AO177" s="466" t="str">
        <f>IF(K176&lt;&gt;"","P列・R列に色付け","")</f>
        <v/>
      </c>
      <c r="AX177" s="452" t="str">
        <f>G176</f>
        <v/>
      </c>
    </row>
    <row r="178" spans="1:50" ht="32.1" customHeight="1" thickBot="1">
      <c r="A178" s="1268"/>
      <c r="B178" s="1205"/>
      <c r="C178" s="1205"/>
      <c r="D178" s="1205"/>
      <c r="E178" s="1205"/>
      <c r="F178" s="1205"/>
      <c r="G178" s="1208"/>
      <c r="H178" s="1208"/>
      <c r="I178" s="1208"/>
      <c r="J178" s="1208"/>
      <c r="K178" s="1208"/>
      <c r="L178" s="1211"/>
      <c r="M178" s="480" t="s">
        <v>114</v>
      </c>
      <c r="N178" s="79"/>
      <c r="O178" s="481" t="str">
        <f>IFERROR(VLOOKUP(K176,【参考】数式用!$A$5:$J$37,MATCH(N178,【参考】数式用!$B$4:$J$4,0)+1,0),"")</f>
        <v/>
      </c>
      <c r="P178" s="77"/>
      <c r="Q178" s="481" t="str">
        <f>IFERROR(VLOOKUP(K176,【参考】数式用!$A$5:$J$37,MATCH(P178,【参考】数式用!$B$4:$J$4,0)+1,0),"")</f>
        <v/>
      </c>
      <c r="R178" s="482" t="s">
        <v>15</v>
      </c>
      <c r="S178" s="483">
        <v>6</v>
      </c>
      <c r="T178" s="484" t="s">
        <v>10</v>
      </c>
      <c r="U178" s="59">
        <v>4</v>
      </c>
      <c r="V178" s="484" t="s">
        <v>38</v>
      </c>
      <c r="W178" s="483">
        <v>6</v>
      </c>
      <c r="X178" s="484" t="s">
        <v>10</v>
      </c>
      <c r="Y178" s="59">
        <v>5</v>
      </c>
      <c r="Z178" s="484" t="s">
        <v>13</v>
      </c>
      <c r="AA178" s="485" t="s">
        <v>20</v>
      </c>
      <c r="AB178" s="486">
        <f t="shared" si="461"/>
        <v>2</v>
      </c>
      <c r="AC178" s="484" t="s">
        <v>33</v>
      </c>
      <c r="AD178" s="487" t="str">
        <f t="shared" ref="AD178" si="525">IFERROR(ROUNDDOWN(ROUND(L176*Q178,0),0)*AB178,"")</f>
        <v/>
      </c>
      <c r="AE178" s="488" t="str">
        <f t="shared" ref="AE178" si="526">IFERROR(ROUNDDOWN(ROUND(L176*(Q178-O178),0),0)*AB178,"")</f>
        <v/>
      </c>
      <c r="AF178" s="489">
        <f t="shared" si="346"/>
        <v>0</v>
      </c>
      <c r="AG178" s="368"/>
      <c r="AH178" s="369"/>
      <c r="AI178" s="370"/>
      <c r="AJ178" s="371"/>
      <c r="AK178" s="372"/>
      <c r="AL178" s="373"/>
      <c r="AM178" s="490"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1" t="str">
        <f>IF(K176&lt;&gt;"","P列・R列に色付け","")</f>
        <v/>
      </c>
      <c r="AP178" s="492"/>
      <c r="AQ178" s="492"/>
      <c r="AW178" s="493"/>
      <c r="AX178" s="452" t="str">
        <f>G176</f>
        <v/>
      </c>
    </row>
    <row r="179" spans="1:50" ht="32.1" customHeight="1">
      <c r="A179" s="1266">
        <v>56</v>
      </c>
      <c r="B179" s="1203" t="str">
        <f>IF(基本情報入力シート!C109="","",基本情報入力シート!C109)</f>
        <v/>
      </c>
      <c r="C179" s="1203"/>
      <c r="D179" s="1203"/>
      <c r="E179" s="1203"/>
      <c r="F179" s="1203"/>
      <c r="G179" s="1206" t="str">
        <f>IF(基本情報入力シート!M109="","",基本情報入力シート!M109)</f>
        <v/>
      </c>
      <c r="H179" s="1206" t="str">
        <f>IF(基本情報入力シート!R109="","",基本情報入力シート!R109)</f>
        <v/>
      </c>
      <c r="I179" s="1206" t="str">
        <f>IF(基本情報入力シート!W109="","",基本情報入力シート!W109)</f>
        <v/>
      </c>
      <c r="J179" s="1206" t="str">
        <f>IF(基本情報入力シート!X109="","",基本情報入力シート!X109)</f>
        <v/>
      </c>
      <c r="K179" s="1206" t="str">
        <f>IF(基本情報入力シート!Y109="","",基本情報入力シート!Y109)</f>
        <v/>
      </c>
      <c r="L179" s="1209" t="str">
        <f>IF(基本情報入力シート!AB109="","",基本情報入力シート!AB109)</f>
        <v/>
      </c>
      <c r="M179" s="456" t="s">
        <v>132</v>
      </c>
      <c r="N179" s="75"/>
      <c r="O179" s="457" t="str">
        <f>IFERROR(VLOOKUP(K179,【参考】数式用!$A$5:$J$37,MATCH(N179,【参考】数式用!$B$4:$J$4,0)+1,0),"")</f>
        <v/>
      </c>
      <c r="P179" s="75"/>
      <c r="Q179" s="457" t="str">
        <f>IFERROR(VLOOKUP(K179,【参考】数式用!$A$5:$J$37,MATCH(P179,【参考】数式用!$B$4:$J$4,0)+1,0),"")</f>
        <v/>
      </c>
      <c r="R179" s="458" t="s">
        <v>15</v>
      </c>
      <c r="S179" s="459">
        <v>6</v>
      </c>
      <c r="T179" s="125" t="s">
        <v>10</v>
      </c>
      <c r="U179" s="39">
        <v>4</v>
      </c>
      <c r="V179" s="125" t="s">
        <v>38</v>
      </c>
      <c r="W179" s="459">
        <v>6</v>
      </c>
      <c r="X179" s="125" t="s">
        <v>10</v>
      </c>
      <c r="Y179" s="39">
        <v>5</v>
      </c>
      <c r="Z179" s="125" t="s">
        <v>13</v>
      </c>
      <c r="AA179" s="460" t="s">
        <v>20</v>
      </c>
      <c r="AB179" s="461">
        <f t="shared" si="461"/>
        <v>2</v>
      </c>
      <c r="AC179" s="125" t="s">
        <v>33</v>
      </c>
      <c r="AD179" s="462" t="str">
        <f t="shared" ref="AD179" si="528">IFERROR(ROUNDDOWN(ROUND(L179*Q179,0),0)*AB179,"")</f>
        <v/>
      </c>
      <c r="AE179" s="463" t="str">
        <f t="shared" si="496"/>
        <v/>
      </c>
      <c r="AF179" s="464"/>
      <c r="AG179" s="374"/>
      <c r="AH179" s="382"/>
      <c r="AI179" s="379"/>
      <c r="AJ179" s="380"/>
      <c r="AK179" s="360"/>
      <c r="AL179" s="361"/>
      <c r="AM179" s="465" t="str">
        <f t="shared" ref="AM179" si="529">IF(AO179="","",IF(Q179&lt;O179,"！加算の要件上は問題ありませんが、令和６年３月と比較して４・５月に加算率が下がる計画になっています。",""))</f>
        <v/>
      </c>
      <c r="AO179" s="466" t="str">
        <f>IF(K179&lt;&gt;"","P列・R列に色付け","")</f>
        <v/>
      </c>
      <c r="AP179" s="467" t="str">
        <f>IFERROR(VLOOKUP(K179,【参考】数式用!$AH$2:$AI$34,2,FALSE),"")</f>
        <v/>
      </c>
      <c r="AQ179" s="469" t="str">
        <f>P179&amp;P180&amp;P181</f>
        <v/>
      </c>
      <c r="AR179" s="467" t="str">
        <f t="shared" ref="AR179" si="530">IF(AF181&lt;&gt;0,IF(AG181="○","入力済","未入力"),"")</f>
        <v/>
      </c>
      <c r="AS179" s="468" t="str">
        <f>IF(OR(P179="処遇加算Ⅰ",P179="処遇加算Ⅱ"),IF(OR(AH179="○",AH179="令和６年度中に満たす"),"入力済","未入力"),"")</f>
        <v/>
      </c>
      <c r="AT179" s="469" t="str">
        <f>IF(P179="処遇加算Ⅲ",IF(AI179="○","入力済","未入力"),"")</f>
        <v/>
      </c>
      <c r="AU179" s="467" t="str">
        <f>IF(P179="処遇加算Ⅰ",IF(OR(AJ179="○",AJ179="令和６年度中に満たす"),"入力済","未入力"),"")</f>
        <v/>
      </c>
      <c r="AV179" s="467" t="str">
        <f t="shared" ref="AV179" si="531">IF(OR(P180="特定加算Ⅰ",P180="特定加算Ⅱ"),1,"")</f>
        <v/>
      </c>
      <c r="AW179" s="452" t="str">
        <f>IF(P180="特定加算Ⅰ",IF(AL180="","未入力","入力済"),"")</f>
        <v/>
      </c>
      <c r="AX179" s="452" t="str">
        <f>G179</f>
        <v/>
      </c>
    </row>
    <row r="180" spans="1:50" ht="32.1" customHeight="1">
      <c r="A180" s="1267"/>
      <c r="B180" s="1204"/>
      <c r="C180" s="1204"/>
      <c r="D180" s="1204"/>
      <c r="E180" s="1204"/>
      <c r="F180" s="1204"/>
      <c r="G180" s="1207"/>
      <c r="H180" s="1207"/>
      <c r="I180" s="1207"/>
      <c r="J180" s="1207"/>
      <c r="K180" s="1207"/>
      <c r="L180" s="1210"/>
      <c r="M180" s="470" t="s">
        <v>121</v>
      </c>
      <c r="N180" s="76"/>
      <c r="O180" s="471" t="str">
        <f>IFERROR(VLOOKUP(K179,【参考】数式用!$A$5:$J$37,MATCH(N180,【参考】数式用!$B$4:$J$4,0)+1,0),"")</f>
        <v/>
      </c>
      <c r="P180" s="76"/>
      <c r="Q180" s="471" t="str">
        <f>IFERROR(VLOOKUP(K179,【参考】数式用!$A$5:$J$37,MATCH(P180,【参考】数式用!$B$4:$J$4,0)+1,0),"")</f>
        <v/>
      </c>
      <c r="R180" s="96" t="s">
        <v>15</v>
      </c>
      <c r="S180" s="472">
        <v>6</v>
      </c>
      <c r="T180" s="97" t="s">
        <v>10</v>
      </c>
      <c r="U180" s="58">
        <v>4</v>
      </c>
      <c r="V180" s="97" t="s">
        <v>38</v>
      </c>
      <c r="W180" s="472">
        <v>6</v>
      </c>
      <c r="X180" s="97" t="s">
        <v>10</v>
      </c>
      <c r="Y180" s="58">
        <v>5</v>
      </c>
      <c r="Z180" s="97" t="s">
        <v>13</v>
      </c>
      <c r="AA180" s="473" t="s">
        <v>20</v>
      </c>
      <c r="AB180" s="474">
        <f t="shared" si="461"/>
        <v>2</v>
      </c>
      <c r="AC180" s="97" t="s">
        <v>33</v>
      </c>
      <c r="AD180" s="475" t="str">
        <f t="shared" ref="AD180" si="532">IFERROR(ROUNDDOWN(ROUND(L179*Q180,0),0)*AB180,"")</f>
        <v/>
      </c>
      <c r="AE180" s="476" t="str">
        <f t="shared" si="501"/>
        <v/>
      </c>
      <c r="AF180" s="477"/>
      <c r="AG180" s="362"/>
      <c r="AH180" s="363"/>
      <c r="AI180" s="364"/>
      <c r="AJ180" s="365"/>
      <c r="AK180" s="366"/>
      <c r="AL180" s="367"/>
      <c r="AM180" s="478"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79"/>
      <c r="AO180" s="466" t="str">
        <f>IF(K179&lt;&gt;"","P列・R列に色付け","")</f>
        <v/>
      </c>
      <c r="AX180" s="452" t="str">
        <f>G179</f>
        <v/>
      </c>
    </row>
    <row r="181" spans="1:50" ht="32.1" customHeight="1" thickBot="1">
      <c r="A181" s="1268"/>
      <c r="B181" s="1205"/>
      <c r="C181" s="1205"/>
      <c r="D181" s="1205"/>
      <c r="E181" s="1205"/>
      <c r="F181" s="1205"/>
      <c r="G181" s="1208"/>
      <c r="H181" s="1208"/>
      <c r="I181" s="1208"/>
      <c r="J181" s="1208"/>
      <c r="K181" s="1208"/>
      <c r="L181" s="1211"/>
      <c r="M181" s="480" t="s">
        <v>114</v>
      </c>
      <c r="N181" s="79"/>
      <c r="O181" s="481" t="str">
        <f>IFERROR(VLOOKUP(K179,【参考】数式用!$A$5:$J$37,MATCH(N181,【参考】数式用!$B$4:$J$4,0)+1,0),"")</f>
        <v/>
      </c>
      <c r="P181" s="77"/>
      <c r="Q181" s="481" t="str">
        <f>IFERROR(VLOOKUP(K179,【参考】数式用!$A$5:$J$37,MATCH(P181,【参考】数式用!$B$4:$J$4,0)+1,0),"")</f>
        <v/>
      </c>
      <c r="R181" s="482" t="s">
        <v>15</v>
      </c>
      <c r="S181" s="483">
        <v>6</v>
      </c>
      <c r="T181" s="484" t="s">
        <v>10</v>
      </c>
      <c r="U181" s="59">
        <v>4</v>
      </c>
      <c r="V181" s="484" t="s">
        <v>38</v>
      </c>
      <c r="W181" s="483">
        <v>6</v>
      </c>
      <c r="X181" s="484" t="s">
        <v>10</v>
      </c>
      <c r="Y181" s="59">
        <v>5</v>
      </c>
      <c r="Z181" s="484" t="s">
        <v>13</v>
      </c>
      <c r="AA181" s="485" t="s">
        <v>20</v>
      </c>
      <c r="AB181" s="486">
        <f t="shared" si="461"/>
        <v>2</v>
      </c>
      <c r="AC181" s="484" t="s">
        <v>33</v>
      </c>
      <c r="AD181" s="487" t="str">
        <f t="shared" ref="AD181" si="534">IFERROR(ROUNDDOWN(ROUND(L179*Q181,0),0)*AB181,"")</f>
        <v/>
      </c>
      <c r="AE181" s="488" t="str">
        <f t="shared" si="504"/>
        <v/>
      </c>
      <c r="AF181" s="489">
        <f t="shared" si="346"/>
        <v>0</v>
      </c>
      <c r="AG181" s="368"/>
      <c r="AH181" s="369"/>
      <c r="AI181" s="370"/>
      <c r="AJ181" s="371"/>
      <c r="AK181" s="372"/>
      <c r="AL181" s="373"/>
      <c r="AM181" s="490"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1" t="str">
        <f>IF(K179&lt;&gt;"","P列・R列に色付け","")</f>
        <v/>
      </c>
      <c r="AP181" s="492"/>
      <c r="AQ181" s="492"/>
      <c r="AW181" s="493"/>
      <c r="AX181" s="452" t="str">
        <f>G179</f>
        <v/>
      </c>
    </row>
    <row r="182" spans="1:50" ht="32.1" customHeight="1">
      <c r="A182" s="1266">
        <v>57</v>
      </c>
      <c r="B182" s="1203" t="str">
        <f>IF(基本情報入力シート!C110="","",基本情報入力シート!C110)</f>
        <v/>
      </c>
      <c r="C182" s="1203"/>
      <c r="D182" s="1203"/>
      <c r="E182" s="1203"/>
      <c r="F182" s="1203"/>
      <c r="G182" s="1206" t="str">
        <f>IF(基本情報入力シート!M110="","",基本情報入力シート!M110)</f>
        <v/>
      </c>
      <c r="H182" s="1206" t="str">
        <f>IF(基本情報入力シート!R110="","",基本情報入力シート!R110)</f>
        <v/>
      </c>
      <c r="I182" s="1206" t="str">
        <f>IF(基本情報入力シート!W110="","",基本情報入力シート!W110)</f>
        <v/>
      </c>
      <c r="J182" s="1206" t="str">
        <f>IF(基本情報入力シート!X110="","",基本情報入力シート!X110)</f>
        <v/>
      </c>
      <c r="K182" s="1206" t="str">
        <f>IF(基本情報入力シート!Y110="","",基本情報入力シート!Y110)</f>
        <v/>
      </c>
      <c r="L182" s="1209" t="str">
        <f>IF(基本情報入力シート!AB110="","",基本情報入力シート!AB110)</f>
        <v/>
      </c>
      <c r="M182" s="456" t="s">
        <v>132</v>
      </c>
      <c r="N182" s="75"/>
      <c r="O182" s="457" t="str">
        <f>IFERROR(VLOOKUP(K182,【参考】数式用!$A$5:$J$37,MATCH(N182,【参考】数式用!$B$4:$J$4,0)+1,0),"")</f>
        <v/>
      </c>
      <c r="P182" s="75"/>
      <c r="Q182" s="457" t="str">
        <f>IFERROR(VLOOKUP(K182,【参考】数式用!$A$5:$J$37,MATCH(P182,【参考】数式用!$B$4:$J$4,0)+1,0),"")</f>
        <v/>
      </c>
      <c r="R182" s="458" t="s">
        <v>15</v>
      </c>
      <c r="S182" s="459">
        <v>6</v>
      </c>
      <c r="T182" s="125" t="s">
        <v>10</v>
      </c>
      <c r="U182" s="39">
        <v>4</v>
      </c>
      <c r="V182" s="125" t="s">
        <v>38</v>
      </c>
      <c r="W182" s="459">
        <v>6</v>
      </c>
      <c r="X182" s="125" t="s">
        <v>10</v>
      </c>
      <c r="Y182" s="39">
        <v>5</v>
      </c>
      <c r="Z182" s="125" t="s">
        <v>13</v>
      </c>
      <c r="AA182" s="460" t="s">
        <v>20</v>
      </c>
      <c r="AB182" s="461">
        <f t="shared" si="461"/>
        <v>2</v>
      </c>
      <c r="AC182" s="125" t="s">
        <v>33</v>
      </c>
      <c r="AD182" s="462" t="str">
        <f t="shared" ref="AD182" si="536">IFERROR(ROUNDDOWN(ROUND(L182*Q182,0),0)*AB182,"")</f>
        <v/>
      </c>
      <c r="AE182" s="463" t="str">
        <f t="shared" si="507"/>
        <v/>
      </c>
      <c r="AF182" s="464"/>
      <c r="AG182" s="374"/>
      <c r="AH182" s="382"/>
      <c r="AI182" s="379"/>
      <c r="AJ182" s="380"/>
      <c r="AK182" s="360"/>
      <c r="AL182" s="361"/>
      <c r="AM182" s="465" t="str">
        <f t="shared" ref="AM182" si="537">IF(AO182="","",IF(Q182&lt;O182,"！加算の要件上は問題ありませんが、令和６年３月と比較して４・５月に加算率が下がる計画になっています。",""))</f>
        <v/>
      </c>
      <c r="AO182" s="466" t="str">
        <f>IF(K182&lt;&gt;"","P列・R列に色付け","")</f>
        <v/>
      </c>
      <c r="AP182" s="467" t="str">
        <f>IFERROR(VLOOKUP(K182,【参考】数式用!$AH$2:$AI$34,2,FALSE),"")</f>
        <v/>
      </c>
      <c r="AQ182" s="469" t="str">
        <f>P182&amp;P183&amp;P184</f>
        <v/>
      </c>
      <c r="AR182" s="467" t="str">
        <f t="shared" ref="AR182" si="538">IF(AF184&lt;&gt;0,IF(AG184="○","入力済","未入力"),"")</f>
        <v/>
      </c>
      <c r="AS182" s="468" t="str">
        <f>IF(OR(P182="処遇加算Ⅰ",P182="処遇加算Ⅱ"),IF(OR(AH182="○",AH182="令和６年度中に満たす"),"入力済","未入力"),"")</f>
        <v/>
      </c>
      <c r="AT182" s="469" t="str">
        <f>IF(P182="処遇加算Ⅲ",IF(AI182="○","入力済","未入力"),"")</f>
        <v/>
      </c>
      <c r="AU182" s="467" t="str">
        <f>IF(P182="処遇加算Ⅰ",IF(OR(AJ182="○",AJ182="令和６年度中に満たす"),"入力済","未入力"),"")</f>
        <v/>
      </c>
      <c r="AV182" s="467" t="str">
        <f t="shared" ref="AV182" si="539">IF(OR(P183="特定加算Ⅰ",P183="特定加算Ⅱ"),1,"")</f>
        <v/>
      </c>
      <c r="AW182" s="452" t="str">
        <f>IF(P183="特定加算Ⅰ",IF(AL183="","未入力","入力済"),"")</f>
        <v/>
      </c>
      <c r="AX182" s="452" t="str">
        <f>G182</f>
        <v/>
      </c>
    </row>
    <row r="183" spans="1:50" ht="32.1" customHeight="1">
      <c r="A183" s="1267"/>
      <c r="B183" s="1204"/>
      <c r="C183" s="1204"/>
      <c r="D183" s="1204"/>
      <c r="E183" s="1204"/>
      <c r="F183" s="1204"/>
      <c r="G183" s="1207"/>
      <c r="H183" s="1207"/>
      <c r="I183" s="1207"/>
      <c r="J183" s="1207"/>
      <c r="K183" s="1207"/>
      <c r="L183" s="1210"/>
      <c r="M183" s="470" t="s">
        <v>121</v>
      </c>
      <c r="N183" s="76"/>
      <c r="O183" s="471" t="str">
        <f>IFERROR(VLOOKUP(K182,【参考】数式用!$A$5:$J$37,MATCH(N183,【参考】数式用!$B$4:$J$4,0)+1,0),"")</f>
        <v/>
      </c>
      <c r="P183" s="76"/>
      <c r="Q183" s="471" t="str">
        <f>IFERROR(VLOOKUP(K182,【参考】数式用!$A$5:$J$37,MATCH(P183,【参考】数式用!$B$4:$J$4,0)+1,0),"")</f>
        <v/>
      </c>
      <c r="R183" s="96" t="s">
        <v>15</v>
      </c>
      <c r="S183" s="472">
        <v>6</v>
      </c>
      <c r="T183" s="97" t="s">
        <v>10</v>
      </c>
      <c r="U183" s="58">
        <v>4</v>
      </c>
      <c r="V183" s="97" t="s">
        <v>38</v>
      </c>
      <c r="W183" s="472">
        <v>6</v>
      </c>
      <c r="X183" s="97" t="s">
        <v>10</v>
      </c>
      <c r="Y183" s="58">
        <v>5</v>
      </c>
      <c r="Z183" s="97" t="s">
        <v>13</v>
      </c>
      <c r="AA183" s="473" t="s">
        <v>20</v>
      </c>
      <c r="AB183" s="474">
        <f t="shared" si="461"/>
        <v>2</v>
      </c>
      <c r="AC183" s="97" t="s">
        <v>33</v>
      </c>
      <c r="AD183" s="475" t="str">
        <f t="shared" ref="AD183" si="540">IFERROR(ROUNDDOWN(ROUND(L182*Q183,0),0)*AB183,"")</f>
        <v/>
      </c>
      <c r="AE183" s="476" t="str">
        <f t="shared" si="512"/>
        <v/>
      </c>
      <c r="AF183" s="477"/>
      <c r="AG183" s="362"/>
      <c r="AH183" s="363"/>
      <c r="AI183" s="364"/>
      <c r="AJ183" s="365"/>
      <c r="AK183" s="366"/>
      <c r="AL183" s="367"/>
      <c r="AM183" s="478"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79"/>
      <c r="AO183" s="466" t="str">
        <f>IF(K182&lt;&gt;"","P列・R列に色付け","")</f>
        <v/>
      </c>
      <c r="AX183" s="452" t="str">
        <f>G182</f>
        <v/>
      </c>
    </row>
    <row r="184" spans="1:50" ht="32.1" customHeight="1" thickBot="1">
      <c r="A184" s="1268"/>
      <c r="B184" s="1205"/>
      <c r="C184" s="1205"/>
      <c r="D184" s="1205"/>
      <c r="E184" s="1205"/>
      <c r="F184" s="1205"/>
      <c r="G184" s="1208"/>
      <c r="H184" s="1208"/>
      <c r="I184" s="1208"/>
      <c r="J184" s="1208"/>
      <c r="K184" s="1208"/>
      <c r="L184" s="1211"/>
      <c r="M184" s="480" t="s">
        <v>114</v>
      </c>
      <c r="N184" s="79"/>
      <c r="O184" s="481" t="str">
        <f>IFERROR(VLOOKUP(K182,【参考】数式用!$A$5:$J$37,MATCH(N184,【参考】数式用!$B$4:$J$4,0)+1,0),"")</f>
        <v/>
      </c>
      <c r="P184" s="77"/>
      <c r="Q184" s="481" t="str">
        <f>IFERROR(VLOOKUP(K182,【参考】数式用!$A$5:$J$37,MATCH(P184,【参考】数式用!$B$4:$J$4,0)+1,0),"")</f>
        <v/>
      </c>
      <c r="R184" s="482" t="s">
        <v>15</v>
      </c>
      <c r="S184" s="483">
        <v>6</v>
      </c>
      <c r="T184" s="484" t="s">
        <v>10</v>
      </c>
      <c r="U184" s="59">
        <v>4</v>
      </c>
      <c r="V184" s="484" t="s">
        <v>38</v>
      </c>
      <c r="W184" s="483">
        <v>6</v>
      </c>
      <c r="X184" s="484" t="s">
        <v>10</v>
      </c>
      <c r="Y184" s="59">
        <v>5</v>
      </c>
      <c r="Z184" s="484" t="s">
        <v>13</v>
      </c>
      <c r="AA184" s="485" t="s">
        <v>20</v>
      </c>
      <c r="AB184" s="486">
        <f t="shared" si="461"/>
        <v>2</v>
      </c>
      <c r="AC184" s="484" t="s">
        <v>33</v>
      </c>
      <c r="AD184" s="487" t="str">
        <f t="shared" ref="AD184" si="542">IFERROR(ROUNDDOWN(ROUND(L182*Q184,0),0)*AB184,"")</f>
        <v/>
      </c>
      <c r="AE184" s="488" t="str">
        <f t="shared" si="515"/>
        <v/>
      </c>
      <c r="AF184" s="489">
        <f t="shared" si="346"/>
        <v>0</v>
      </c>
      <c r="AG184" s="368"/>
      <c r="AH184" s="369"/>
      <c r="AI184" s="370"/>
      <c r="AJ184" s="371"/>
      <c r="AK184" s="372"/>
      <c r="AL184" s="373"/>
      <c r="AM184" s="490"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1" t="str">
        <f>IF(K182&lt;&gt;"","P列・R列に色付け","")</f>
        <v/>
      </c>
      <c r="AP184" s="492"/>
      <c r="AQ184" s="492"/>
      <c r="AW184" s="493"/>
      <c r="AX184" s="452" t="str">
        <f>G182</f>
        <v/>
      </c>
    </row>
    <row r="185" spans="1:50" ht="32.1" customHeight="1">
      <c r="A185" s="1266">
        <v>58</v>
      </c>
      <c r="B185" s="1203" t="str">
        <f>IF(基本情報入力シート!C111="","",基本情報入力シート!C111)</f>
        <v/>
      </c>
      <c r="C185" s="1203"/>
      <c r="D185" s="1203"/>
      <c r="E185" s="1203"/>
      <c r="F185" s="1203"/>
      <c r="G185" s="1206" t="str">
        <f>IF(基本情報入力シート!M111="","",基本情報入力シート!M111)</f>
        <v/>
      </c>
      <c r="H185" s="1206" t="str">
        <f>IF(基本情報入力シート!R111="","",基本情報入力シート!R111)</f>
        <v/>
      </c>
      <c r="I185" s="1206" t="str">
        <f>IF(基本情報入力シート!W111="","",基本情報入力シート!W111)</f>
        <v/>
      </c>
      <c r="J185" s="1206" t="str">
        <f>IF(基本情報入力シート!X111="","",基本情報入力シート!X111)</f>
        <v/>
      </c>
      <c r="K185" s="1206" t="str">
        <f>IF(基本情報入力シート!Y111="","",基本情報入力シート!Y111)</f>
        <v/>
      </c>
      <c r="L185" s="1209" t="str">
        <f>IF(基本情報入力シート!AB111="","",基本情報入力シート!AB111)</f>
        <v/>
      </c>
      <c r="M185" s="456" t="s">
        <v>132</v>
      </c>
      <c r="N185" s="75"/>
      <c r="O185" s="457" t="str">
        <f>IFERROR(VLOOKUP(K185,【参考】数式用!$A$5:$J$37,MATCH(N185,【参考】数式用!$B$4:$J$4,0)+1,0),"")</f>
        <v/>
      </c>
      <c r="P185" s="75"/>
      <c r="Q185" s="457" t="str">
        <f>IFERROR(VLOOKUP(K185,【参考】数式用!$A$5:$J$37,MATCH(P185,【参考】数式用!$B$4:$J$4,0)+1,0),"")</f>
        <v/>
      </c>
      <c r="R185" s="458" t="s">
        <v>15</v>
      </c>
      <c r="S185" s="459">
        <v>6</v>
      </c>
      <c r="T185" s="125" t="s">
        <v>10</v>
      </c>
      <c r="U185" s="39">
        <v>4</v>
      </c>
      <c r="V185" s="125" t="s">
        <v>38</v>
      </c>
      <c r="W185" s="459">
        <v>6</v>
      </c>
      <c r="X185" s="125" t="s">
        <v>10</v>
      </c>
      <c r="Y185" s="39">
        <v>5</v>
      </c>
      <c r="Z185" s="125" t="s">
        <v>13</v>
      </c>
      <c r="AA185" s="460" t="s">
        <v>20</v>
      </c>
      <c r="AB185" s="461">
        <f t="shared" si="461"/>
        <v>2</v>
      </c>
      <c r="AC185" s="125" t="s">
        <v>33</v>
      </c>
      <c r="AD185" s="462" t="str">
        <f t="shared" ref="AD185" si="544">IFERROR(ROUNDDOWN(ROUND(L185*Q185,0),0)*AB185,"")</f>
        <v/>
      </c>
      <c r="AE185" s="463" t="str">
        <f t="shared" ref="AE185" si="545">IFERROR(ROUNDDOWN(ROUND(L185*(Q185-O185),0),0)*AB185,"")</f>
        <v/>
      </c>
      <c r="AF185" s="464"/>
      <c r="AG185" s="374"/>
      <c r="AH185" s="382"/>
      <c r="AI185" s="379"/>
      <c r="AJ185" s="380"/>
      <c r="AK185" s="360"/>
      <c r="AL185" s="361"/>
      <c r="AM185" s="465" t="str">
        <f t="shared" ref="AM185" si="546">IF(AO185="","",IF(Q185&lt;O185,"！加算の要件上は問題ありませんが、令和６年３月と比較して４・５月に加算率が下がる計画になっています。",""))</f>
        <v/>
      </c>
      <c r="AO185" s="466" t="str">
        <f>IF(K185&lt;&gt;"","P列・R列に色付け","")</f>
        <v/>
      </c>
      <c r="AP185" s="467" t="str">
        <f>IFERROR(VLOOKUP(K185,【参考】数式用!$AH$2:$AI$34,2,FALSE),"")</f>
        <v/>
      </c>
      <c r="AQ185" s="469" t="str">
        <f>P185&amp;P186&amp;P187</f>
        <v/>
      </c>
      <c r="AR185" s="467" t="str">
        <f t="shared" ref="AR185" si="547">IF(AF187&lt;&gt;0,IF(AG187="○","入力済","未入力"),"")</f>
        <v/>
      </c>
      <c r="AS185" s="468" t="str">
        <f>IF(OR(P185="処遇加算Ⅰ",P185="処遇加算Ⅱ"),IF(OR(AH185="○",AH185="令和６年度中に満たす"),"入力済","未入力"),"")</f>
        <v/>
      </c>
      <c r="AT185" s="469" t="str">
        <f>IF(P185="処遇加算Ⅲ",IF(AI185="○","入力済","未入力"),"")</f>
        <v/>
      </c>
      <c r="AU185" s="467" t="str">
        <f>IF(P185="処遇加算Ⅰ",IF(OR(AJ185="○",AJ185="令和６年度中に満たす"),"入力済","未入力"),"")</f>
        <v/>
      </c>
      <c r="AV185" s="467" t="str">
        <f t="shared" ref="AV185" si="548">IF(OR(P186="特定加算Ⅰ",P186="特定加算Ⅱ"),1,"")</f>
        <v/>
      </c>
      <c r="AW185" s="452" t="str">
        <f>IF(P186="特定加算Ⅰ",IF(AL186="","未入力","入力済"),"")</f>
        <v/>
      </c>
      <c r="AX185" s="452" t="str">
        <f>G185</f>
        <v/>
      </c>
    </row>
    <row r="186" spans="1:50" ht="32.1" customHeight="1">
      <c r="A186" s="1267"/>
      <c r="B186" s="1204"/>
      <c r="C186" s="1204"/>
      <c r="D186" s="1204"/>
      <c r="E186" s="1204"/>
      <c r="F186" s="1204"/>
      <c r="G186" s="1207"/>
      <c r="H186" s="1207"/>
      <c r="I186" s="1207"/>
      <c r="J186" s="1207"/>
      <c r="K186" s="1207"/>
      <c r="L186" s="1210"/>
      <c r="M186" s="470" t="s">
        <v>121</v>
      </c>
      <c r="N186" s="76"/>
      <c r="O186" s="471" t="str">
        <f>IFERROR(VLOOKUP(K185,【参考】数式用!$A$5:$J$37,MATCH(N186,【参考】数式用!$B$4:$J$4,0)+1,0),"")</f>
        <v/>
      </c>
      <c r="P186" s="76"/>
      <c r="Q186" s="471" t="str">
        <f>IFERROR(VLOOKUP(K185,【参考】数式用!$A$5:$J$37,MATCH(P186,【参考】数式用!$B$4:$J$4,0)+1,0),"")</f>
        <v/>
      </c>
      <c r="R186" s="96" t="s">
        <v>15</v>
      </c>
      <c r="S186" s="472">
        <v>6</v>
      </c>
      <c r="T186" s="97" t="s">
        <v>10</v>
      </c>
      <c r="U186" s="58">
        <v>4</v>
      </c>
      <c r="V186" s="97" t="s">
        <v>38</v>
      </c>
      <c r="W186" s="472">
        <v>6</v>
      </c>
      <c r="X186" s="97" t="s">
        <v>10</v>
      </c>
      <c r="Y186" s="58">
        <v>5</v>
      </c>
      <c r="Z186" s="97" t="s">
        <v>13</v>
      </c>
      <c r="AA186" s="473" t="s">
        <v>20</v>
      </c>
      <c r="AB186" s="474">
        <f t="shared" si="461"/>
        <v>2</v>
      </c>
      <c r="AC186" s="97" t="s">
        <v>33</v>
      </c>
      <c r="AD186" s="475" t="str">
        <f t="shared" ref="AD186" si="549">IFERROR(ROUNDDOWN(ROUND(L185*Q186,0),0)*AB186,"")</f>
        <v/>
      </c>
      <c r="AE186" s="476" t="str">
        <f t="shared" ref="AE186" si="550">IFERROR(ROUNDDOWN(ROUND(L185*(Q186-O186),0),0)*AB186,"")</f>
        <v/>
      </c>
      <c r="AF186" s="477"/>
      <c r="AG186" s="362"/>
      <c r="AH186" s="363"/>
      <c r="AI186" s="364"/>
      <c r="AJ186" s="365"/>
      <c r="AK186" s="366"/>
      <c r="AL186" s="367"/>
      <c r="AM186" s="478"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79"/>
      <c r="AO186" s="466" t="str">
        <f>IF(K185&lt;&gt;"","P列・R列に色付け","")</f>
        <v/>
      </c>
      <c r="AX186" s="452" t="str">
        <f>G185</f>
        <v/>
      </c>
    </row>
    <row r="187" spans="1:50" ht="32.1" customHeight="1" thickBot="1">
      <c r="A187" s="1268"/>
      <c r="B187" s="1205"/>
      <c r="C187" s="1205"/>
      <c r="D187" s="1205"/>
      <c r="E187" s="1205"/>
      <c r="F187" s="1205"/>
      <c r="G187" s="1208"/>
      <c r="H187" s="1208"/>
      <c r="I187" s="1208"/>
      <c r="J187" s="1208"/>
      <c r="K187" s="1208"/>
      <c r="L187" s="1211"/>
      <c r="M187" s="480" t="s">
        <v>114</v>
      </c>
      <c r="N187" s="79"/>
      <c r="O187" s="481" t="str">
        <f>IFERROR(VLOOKUP(K185,【参考】数式用!$A$5:$J$37,MATCH(N187,【参考】数式用!$B$4:$J$4,0)+1,0),"")</f>
        <v/>
      </c>
      <c r="P187" s="77"/>
      <c r="Q187" s="481" t="str">
        <f>IFERROR(VLOOKUP(K185,【参考】数式用!$A$5:$J$37,MATCH(P187,【参考】数式用!$B$4:$J$4,0)+1,0),"")</f>
        <v/>
      </c>
      <c r="R187" s="482" t="s">
        <v>15</v>
      </c>
      <c r="S187" s="483">
        <v>6</v>
      </c>
      <c r="T187" s="484" t="s">
        <v>10</v>
      </c>
      <c r="U187" s="59">
        <v>4</v>
      </c>
      <c r="V187" s="484" t="s">
        <v>38</v>
      </c>
      <c r="W187" s="483">
        <v>6</v>
      </c>
      <c r="X187" s="484" t="s">
        <v>10</v>
      </c>
      <c r="Y187" s="59">
        <v>5</v>
      </c>
      <c r="Z187" s="484" t="s">
        <v>13</v>
      </c>
      <c r="AA187" s="485" t="s">
        <v>20</v>
      </c>
      <c r="AB187" s="486">
        <f t="shared" si="461"/>
        <v>2</v>
      </c>
      <c r="AC187" s="484" t="s">
        <v>33</v>
      </c>
      <c r="AD187" s="487" t="str">
        <f t="shared" ref="AD187" si="552">IFERROR(ROUNDDOWN(ROUND(L185*Q187,0),0)*AB187,"")</f>
        <v/>
      </c>
      <c r="AE187" s="488" t="str">
        <f t="shared" ref="AE187" si="553">IFERROR(ROUNDDOWN(ROUND(L185*(Q187-O187),0),0)*AB187,"")</f>
        <v/>
      </c>
      <c r="AF187" s="489">
        <f t="shared" ref="AF187:AF250" si="554">IF(AND(N187="ベア加算なし",P187="ベア加算"),AD187,0)</f>
        <v>0</v>
      </c>
      <c r="AG187" s="368"/>
      <c r="AH187" s="369"/>
      <c r="AI187" s="370"/>
      <c r="AJ187" s="371"/>
      <c r="AK187" s="372"/>
      <c r="AL187" s="373"/>
      <c r="AM187" s="490"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1" t="str">
        <f>IF(K185&lt;&gt;"","P列・R列に色付け","")</f>
        <v/>
      </c>
      <c r="AP187" s="492"/>
      <c r="AQ187" s="492"/>
      <c r="AW187" s="493"/>
      <c r="AX187" s="452" t="str">
        <f>G185</f>
        <v/>
      </c>
    </row>
    <row r="188" spans="1:50" ht="32.1" customHeight="1">
      <c r="A188" s="1266">
        <v>59</v>
      </c>
      <c r="B188" s="1203" t="str">
        <f>IF(基本情報入力シート!C112="","",基本情報入力シート!C112)</f>
        <v/>
      </c>
      <c r="C188" s="1203"/>
      <c r="D188" s="1203"/>
      <c r="E188" s="1203"/>
      <c r="F188" s="1203"/>
      <c r="G188" s="1206" t="str">
        <f>IF(基本情報入力シート!M112="","",基本情報入力シート!M112)</f>
        <v/>
      </c>
      <c r="H188" s="1206" t="str">
        <f>IF(基本情報入力シート!R112="","",基本情報入力シート!R112)</f>
        <v/>
      </c>
      <c r="I188" s="1206" t="str">
        <f>IF(基本情報入力シート!W112="","",基本情報入力シート!W112)</f>
        <v/>
      </c>
      <c r="J188" s="1206" t="str">
        <f>IF(基本情報入力シート!X112="","",基本情報入力シート!X112)</f>
        <v/>
      </c>
      <c r="K188" s="1206" t="str">
        <f>IF(基本情報入力シート!Y112="","",基本情報入力シート!Y112)</f>
        <v/>
      </c>
      <c r="L188" s="1209" t="str">
        <f>IF(基本情報入力シート!AB112="","",基本情報入力シート!AB112)</f>
        <v/>
      </c>
      <c r="M188" s="456" t="s">
        <v>132</v>
      </c>
      <c r="N188" s="75"/>
      <c r="O188" s="457" t="str">
        <f>IFERROR(VLOOKUP(K188,【参考】数式用!$A$5:$J$37,MATCH(N188,【参考】数式用!$B$4:$J$4,0)+1,0),"")</f>
        <v/>
      </c>
      <c r="P188" s="75"/>
      <c r="Q188" s="457" t="str">
        <f>IFERROR(VLOOKUP(K188,【参考】数式用!$A$5:$J$37,MATCH(P188,【参考】数式用!$B$4:$J$4,0)+1,0),"")</f>
        <v/>
      </c>
      <c r="R188" s="458" t="s">
        <v>15</v>
      </c>
      <c r="S188" s="459">
        <v>6</v>
      </c>
      <c r="T188" s="125" t="s">
        <v>10</v>
      </c>
      <c r="U188" s="39">
        <v>4</v>
      </c>
      <c r="V188" s="125" t="s">
        <v>38</v>
      </c>
      <c r="W188" s="459">
        <v>6</v>
      </c>
      <c r="X188" s="125" t="s">
        <v>10</v>
      </c>
      <c r="Y188" s="39">
        <v>5</v>
      </c>
      <c r="Z188" s="125" t="s">
        <v>13</v>
      </c>
      <c r="AA188" s="460" t="s">
        <v>20</v>
      </c>
      <c r="AB188" s="461">
        <f t="shared" si="461"/>
        <v>2</v>
      </c>
      <c r="AC188" s="125" t="s">
        <v>33</v>
      </c>
      <c r="AD188" s="462" t="str">
        <f t="shared" ref="AD188" si="556">IFERROR(ROUNDDOWN(ROUND(L188*Q188,0),0)*AB188,"")</f>
        <v/>
      </c>
      <c r="AE188" s="463" t="str">
        <f t="shared" si="496"/>
        <v/>
      </c>
      <c r="AF188" s="464"/>
      <c r="AG188" s="374"/>
      <c r="AH188" s="382"/>
      <c r="AI188" s="379"/>
      <c r="AJ188" s="380"/>
      <c r="AK188" s="360"/>
      <c r="AL188" s="361"/>
      <c r="AM188" s="465" t="str">
        <f t="shared" ref="AM188" si="557">IF(AO188="","",IF(Q188&lt;O188,"！加算の要件上は問題ありませんが、令和６年３月と比較して４・５月に加算率が下がる計画になっています。",""))</f>
        <v/>
      </c>
      <c r="AO188" s="466" t="str">
        <f>IF(K188&lt;&gt;"","P列・R列に色付け","")</f>
        <v/>
      </c>
      <c r="AP188" s="467" t="str">
        <f>IFERROR(VLOOKUP(K188,【参考】数式用!$AH$2:$AI$34,2,FALSE),"")</f>
        <v/>
      </c>
      <c r="AQ188" s="469" t="str">
        <f>P188&amp;P189&amp;P190</f>
        <v/>
      </c>
      <c r="AR188" s="467" t="str">
        <f t="shared" ref="AR188" si="558">IF(AF190&lt;&gt;0,IF(AG190="○","入力済","未入力"),"")</f>
        <v/>
      </c>
      <c r="AS188" s="468" t="str">
        <f>IF(OR(P188="処遇加算Ⅰ",P188="処遇加算Ⅱ"),IF(OR(AH188="○",AH188="令和６年度中に満たす"),"入力済","未入力"),"")</f>
        <v/>
      </c>
      <c r="AT188" s="469" t="str">
        <f>IF(P188="処遇加算Ⅲ",IF(AI188="○","入力済","未入力"),"")</f>
        <v/>
      </c>
      <c r="AU188" s="467" t="str">
        <f>IF(P188="処遇加算Ⅰ",IF(OR(AJ188="○",AJ188="令和６年度中に満たす"),"入力済","未入力"),"")</f>
        <v/>
      </c>
      <c r="AV188" s="467" t="str">
        <f t="shared" ref="AV188" si="559">IF(OR(P189="特定加算Ⅰ",P189="特定加算Ⅱ"),1,"")</f>
        <v/>
      </c>
      <c r="AW188" s="452" t="str">
        <f>IF(P189="特定加算Ⅰ",IF(AL189="","未入力","入力済"),"")</f>
        <v/>
      </c>
      <c r="AX188" s="452" t="str">
        <f>G188</f>
        <v/>
      </c>
    </row>
    <row r="189" spans="1:50" ht="32.1" customHeight="1">
      <c r="A189" s="1267"/>
      <c r="B189" s="1204"/>
      <c r="C189" s="1204"/>
      <c r="D189" s="1204"/>
      <c r="E189" s="1204"/>
      <c r="F189" s="1204"/>
      <c r="G189" s="1207"/>
      <c r="H189" s="1207"/>
      <c r="I189" s="1207"/>
      <c r="J189" s="1207"/>
      <c r="K189" s="1207"/>
      <c r="L189" s="1210"/>
      <c r="M189" s="470" t="s">
        <v>121</v>
      </c>
      <c r="N189" s="76"/>
      <c r="O189" s="471" t="str">
        <f>IFERROR(VLOOKUP(K188,【参考】数式用!$A$5:$J$37,MATCH(N189,【参考】数式用!$B$4:$J$4,0)+1,0),"")</f>
        <v/>
      </c>
      <c r="P189" s="76"/>
      <c r="Q189" s="471" t="str">
        <f>IFERROR(VLOOKUP(K188,【参考】数式用!$A$5:$J$37,MATCH(P189,【参考】数式用!$B$4:$J$4,0)+1,0),"")</f>
        <v/>
      </c>
      <c r="R189" s="96" t="s">
        <v>15</v>
      </c>
      <c r="S189" s="472">
        <v>6</v>
      </c>
      <c r="T189" s="97" t="s">
        <v>10</v>
      </c>
      <c r="U189" s="58">
        <v>4</v>
      </c>
      <c r="V189" s="97" t="s">
        <v>38</v>
      </c>
      <c r="W189" s="472">
        <v>6</v>
      </c>
      <c r="X189" s="97" t="s">
        <v>10</v>
      </c>
      <c r="Y189" s="58">
        <v>5</v>
      </c>
      <c r="Z189" s="97" t="s">
        <v>13</v>
      </c>
      <c r="AA189" s="473" t="s">
        <v>20</v>
      </c>
      <c r="AB189" s="474">
        <f t="shared" si="461"/>
        <v>2</v>
      </c>
      <c r="AC189" s="97" t="s">
        <v>33</v>
      </c>
      <c r="AD189" s="475" t="str">
        <f t="shared" ref="AD189" si="560">IFERROR(ROUNDDOWN(ROUND(L188*Q189,0),0)*AB189,"")</f>
        <v/>
      </c>
      <c r="AE189" s="476" t="str">
        <f t="shared" si="501"/>
        <v/>
      </c>
      <c r="AF189" s="477"/>
      <c r="AG189" s="362"/>
      <c r="AH189" s="363"/>
      <c r="AI189" s="364"/>
      <c r="AJ189" s="365"/>
      <c r="AK189" s="366"/>
      <c r="AL189" s="367"/>
      <c r="AM189" s="478"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79"/>
      <c r="AO189" s="466" t="str">
        <f>IF(K188&lt;&gt;"","P列・R列に色付け","")</f>
        <v/>
      </c>
      <c r="AX189" s="452" t="str">
        <f>G188</f>
        <v/>
      </c>
    </row>
    <row r="190" spans="1:50" ht="32.1" customHeight="1" thickBot="1">
      <c r="A190" s="1268"/>
      <c r="B190" s="1205"/>
      <c r="C190" s="1205"/>
      <c r="D190" s="1205"/>
      <c r="E190" s="1205"/>
      <c r="F190" s="1205"/>
      <c r="G190" s="1208"/>
      <c r="H190" s="1208"/>
      <c r="I190" s="1208"/>
      <c r="J190" s="1208"/>
      <c r="K190" s="1208"/>
      <c r="L190" s="1211"/>
      <c r="M190" s="480" t="s">
        <v>114</v>
      </c>
      <c r="N190" s="79"/>
      <c r="O190" s="481" t="str">
        <f>IFERROR(VLOOKUP(K188,【参考】数式用!$A$5:$J$37,MATCH(N190,【参考】数式用!$B$4:$J$4,0)+1,0),"")</f>
        <v/>
      </c>
      <c r="P190" s="77"/>
      <c r="Q190" s="481" t="str">
        <f>IFERROR(VLOOKUP(K188,【参考】数式用!$A$5:$J$37,MATCH(P190,【参考】数式用!$B$4:$J$4,0)+1,0),"")</f>
        <v/>
      </c>
      <c r="R190" s="482" t="s">
        <v>15</v>
      </c>
      <c r="S190" s="483">
        <v>6</v>
      </c>
      <c r="T190" s="484" t="s">
        <v>10</v>
      </c>
      <c r="U190" s="59">
        <v>4</v>
      </c>
      <c r="V190" s="484" t="s">
        <v>38</v>
      </c>
      <c r="W190" s="483">
        <v>6</v>
      </c>
      <c r="X190" s="484" t="s">
        <v>10</v>
      </c>
      <c r="Y190" s="59">
        <v>5</v>
      </c>
      <c r="Z190" s="484" t="s">
        <v>13</v>
      </c>
      <c r="AA190" s="485" t="s">
        <v>20</v>
      </c>
      <c r="AB190" s="486">
        <f t="shared" si="461"/>
        <v>2</v>
      </c>
      <c r="AC190" s="484" t="s">
        <v>33</v>
      </c>
      <c r="AD190" s="487" t="str">
        <f t="shared" ref="AD190" si="562">IFERROR(ROUNDDOWN(ROUND(L188*Q190,0),0)*AB190,"")</f>
        <v/>
      </c>
      <c r="AE190" s="488" t="str">
        <f t="shared" si="504"/>
        <v/>
      </c>
      <c r="AF190" s="489">
        <f t="shared" si="554"/>
        <v>0</v>
      </c>
      <c r="AG190" s="368"/>
      <c r="AH190" s="369"/>
      <c r="AI190" s="370"/>
      <c r="AJ190" s="371"/>
      <c r="AK190" s="372"/>
      <c r="AL190" s="373"/>
      <c r="AM190" s="490"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1" t="str">
        <f>IF(K188&lt;&gt;"","P列・R列に色付け","")</f>
        <v/>
      </c>
      <c r="AP190" s="492"/>
      <c r="AQ190" s="492"/>
      <c r="AW190" s="493"/>
      <c r="AX190" s="452" t="str">
        <f>G188</f>
        <v/>
      </c>
    </row>
    <row r="191" spans="1:50" ht="32.1" customHeight="1">
      <c r="A191" s="1266">
        <v>60</v>
      </c>
      <c r="B191" s="1203" t="str">
        <f>IF(基本情報入力シート!C113="","",基本情報入力シート!C113)</f>
        <v/>
      </c>
      <c r="C191" s="1203"/>
      <c r="D191" s="1203"/>
      <c r="E191" s="1203"/>
      <c r="F191" s="1203"/>
      <c r="G191" s="1206" t="str">
        <f>IF(基本情報入力シート!M113="","",基本情報入力シート!M113)</f>
        <v/>
      </c>
      <c r="H191" s="1206" t="str">
        <f>IF(基本情報入力シート!R113="","",基本情報入力シート!R113)</f>
        <v/>
      </c>
      <c r="I191" s="1206" t="str">
        <f>IF(基本情報入力シート!W113="","",基本情報入力シート!W113)</f>
        <v/>
      </c>
      <c r="J191" s="1206" t="str">
        <f>IF(基本情報入力シート!X113="","",基本情報入力シート!X113)</f>
        <v/>
      </c>
      <c r="K191" s="1206" t="str">
        <f>IF(基本情報入力シート!Y113="","",基本情報入力シート!Y113)</f>
        <v/>
      </c>
      <c r="L191" s="1209" t="str">
        <f>IF(基本情報入力シート!AB113="","",基本情報入力シート!AB113)</f>
        <v/>
      </c>
      <c r="M191" s="456" t="s">
        <v>132</v>
      </c>
      <c r="N191" s="75"/>
      <c r="O191" s="457" t="str">
        <f>IFERROR(VLOOKUP(K191,【参考】数式用!$A$5:$J$37,MATCH(N191,【参考】数式用!$B$4:$J$4,0)+1,0),"")</f>
        <v/>
      </c>
      <c r="P191" s="75"/>
      <c r="Q191" s="457" t="str">
        <f>IFERROR(VLOOKUP(K191,【参考】数式用!$A$5:$J$37,MATCH(P191,【参考】数式用!$B$4:$J$4,0)+1,0),"")</f>
        <v/>
      </c>
      <c r="R191" s="458" t="s">
        <v>15</v>
      </c>
      <c r="S191" s="459">
        <v>6</v>
      </c>
      <c r="T191" s="125" t="s">
        <v>10</v>
      </c>
      <c r="U191" s="39">
        <v>4</v>
      </c>
      <c r="V191" s="125" t="s">
        <v>38</v>
      </c>
      <c r="W191" s="459">
        <v>6</v>
      </c>
      <c r="X191" s="125" t="s">
        <v>10</v>
      </c>
      <c r="Y191" s="39">
        <v>5</v>
      </c>
      <c r="Z191" s="125" t="s">
        <v>13</v>
      </c>
      <c r="AA191" s="460" t="s">
        <v>20</v>
      </c>
      <c r="AB191" s="461">
        <f t="shared" si="461"/>
        <v>2</v>
      </c>
      <c r="AC191" s="125" t="s">
        <v>33</v>
      </c>
      <c r="AD191" s="462" t="str">
        <f t="shared" ref="AD191" si="564">IFERROR(ROUNDDOWN(ROUND(L191*Q191,0),0)*AB191,"")</f>
        <v/>
      </c>
      <c r="AE191" s="463" t="str">
        <f t="shared" si="507"/>
        <v/>
      </c>
      <c r="AF191" s="464"/>
      <c r="AG191" s="374"/>
      <c r="AH191" s="382"/>
      <c r="AI191" s="379"/>
      <c r="AJ191" s="380"/>
      <c r="AK191" s="360"/>
      <c r="AL191" s="361"/>
      <c r="AM191" s="465" t="str">
        <f t="shared" ref="AM191" si="565">IF(AO191="","",IF(Q191&lt;O191,"！加算の要件上は問題ありませんが、令和６年３月と比較して４・５月に加算率が下がる計画になっています。",""))</f>
        <v/>
      </c>
      <c r="AO191" s="466" t="str">
        <f>IF(K191&lt;&gt;"","P列・R列に色付け","")</f>
        <v/>
      </c>
      <c r="AP191" s="467" t="str">
        <f>IFERROR(VLOOKUP(K191,【参考】数式用!$AH$2:$AI$34,2,FALSE),"")</f>
        <v/>
      </c>
      <c r="AQ191" s="469" t="str">
        <f>P191&amp;P192&amp;P193</f>
        <v/>
      </c>
      <c r="AR191" s="467" t="str">
        <f t="shared" ref="AR191" si="566">IF(AF193&lt;&gt;0,IF(AG193="○","入力済","未入力"),"")</f>
        <v/>
      </c>
      <c r="AS191" s="468" t="str">
        <f>IF(OR(P191="処遇加算Ⅰ",P191="処遇加算Ⅱ"),IF(OR(AH191="○",AH191="令和６年度中に満たす"),"入力済","未入力"),"")</f>
        <v/>
      </c>
      <c r="AT191" s="469" t="str">
        <f>IF(P191="処遇加算Ⅲ",IF(AI191="○","入力済","未入力"),"")</f>
        <v/>
      </c>
      <c r="AU191" s="467" t="str">
        <f>IF(P191="処遇加算Ⅰ",IF(OR(AJ191="○",AJ191="令和６年度中に満たす"),"入力済","未入力"),"")</f>
        <v/>
      </c>
      <c r="AV191" s="467" t="str">
        <f t="shared" ref="AV191" si="567">IF(OR(P192="特定加算Ⅰ",P192="特定加算Ⅱ"),1,"")</f>
        <v/>
      </c>
      <c r="AW191" s="452" t="str">
        <f>IF(P192="特定加算Ⅰ",IF(AL192="","未入力","入力済"),"")</f>
        <v/>
      </c>
      <c r="AX191" s="452" t="str">
        <f>G191</f>
        <v/>
      </c>
    </row>
    <row r="192" spans="1:50" ht="32.1" customHeight="1">
      <c r="A192" s="1267"/>
      <c r="B192" s="1204"/>
      <c r="C192" s="1204"/>
      <c r="D192" s="1204"/>
      <c r="E192" s="1204"/>
      <c r="F192" s="1204"/>
      <c r="G192" s="1207"/>
      <c r="H192" s="1207"/>
      <c r="I192" s="1207"/>
      <c r="J192" s="1207"/>
      <c r="K192" s="1207"/>
      <c r="L192" s="1210"/>
      <c r="M192" s="470" t="s">
        <v>121</v>
      </c>
      <c r="N192" s="76"/>
      <c r="O192" s="471" t="str">
        <f>IFERROR(VLOOKUP(K191,【参考】数式用!$A$5:$J$37,MATCH(N192,【参考】数式用!$B$4:$J$4,0)+1,0),"")</f>
        <v/>
      </c>
      <c r="P192" s="76"/>
      <c r="Q192" s="471" t="str">
        <f>IFERROR(VLOOKUP(K191,【参考】数式用!$A$5:$J$37,MATCH(P192,【参考】数式用!$B$4:$J$4,0)+1,0),"")</f>
        <v/>
      </c>
      <c r="R192" s="96" t="s">
        <v>15</v>
      </c>
      <c r="S192" s="472">
        <v>6</v>
      </c>
      <c r="T192" s="97" t="s">
        <v>10</v>
      </c>
      <c r="U192" s="58">
        <v>4</v>
      </c>
      <c r="V192" s="97" t="s">
        <v>38</v>
      </c>
      <c r="W192" s="472">
        <v>6</v>
      </c>
      <c r="X192" s="97" t="s">
        <v>10</v>
      </c>
      <c r="Y192" s="58">
        <v>5</v>
      </c>
      <c r="Z192" s="97" t="s">
        <v>13</v>
      </c>
      <c r="AA192" s="473" t="s">
        <v>20</v>
      </c>
      <c r="AB192" s="474">
        <f t="shared" si="461"/>
        <v>2</v>
      </c>
      <c r="AC192" s="97" t="s">
        <v>33</v>
      </c>
      <c r="AD192" s="475" t="str">
        <f t="shared" ref="AD192" si="568">IFERROR(ROUNDDOWN(ROUND(L191*Q192,0),0)*AB192,"")</f>
        <v/>
      </c>
      <c r="AE192" s="476" t="str">
        <f t="shared" si="512"/>
        <v/>
      </c>
      <c r="AF192" s="477"/>
      <c r="AG192" s="362"/>
      <c r="AH192" s="363"/>
      <c r="AI192" s="364"/>
      <c r="AJ192" s="365"/>
      <c r="AK192" s="366"/>
      <c r="AL192" s="367"/>
      <c r="AM192" s="478"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79"/>
      <c r="AO192" s="466" t="str">
        <f>IF(K191&lt;&gt;"","P列・R列に色付け","")</f>
        <v/>
      </c>
      <c r="AX192" s="452" t="str">
        <f>G191</f>
        <v/>
      </c>
    </row>
    <row r="193" spans="1:50" ht="32.1" customHeight="1" thickBot="1">
      <c r="A193" s="1268"/>
      <c r="B193" s="1205"/>
      <c r="C193" s="1205"/>
      <c r="D193" s="1205"/>
      <c r="E193" s="1205"/>
      <c r="F193" s="1205"/>
      <c r="G193" s="1208"/>
      <c r="H193" s="1208"/>
      <c r="I193" s="1208"/>
      <c r="J193" s="1208"/>
      <c r="K193" s="1208"/>
      <c r="L193" s="1211"/>
      <c r="M193" s="480" t="s">
        <v>114</v>
      </c>
      <c r="N193" s="79"/>
      <c r="O193" s="481" t="str">
        <f>IFERROR(VLOOKUP(K191,【参考】数式用!$A$5:$J$37,MATCH(N193,【参考】数式用!$B$4:$J$4,0)+1,0),"")</f>
        <v/>
      </c>
      <c r="P193" s="77"/>
      <c r="Q193" s="481" t="str">
        <f>IFERROR(VLOOKUP(K191,【参考】数式用!$A$5:$J$37,MATCH(P193,【参考】数式用!$B$4:$J$4,0)+1,0),"")</f>
        <v/>
      </c>
      <c r="R193" s="482" t="s">
        <v>15</v>
      </c>
      <c r="S193" s="483">
        <v>6</v>
      </c>
      <c r="T193" s="484" t="s">
        <v>10</v>
      </c>
      <c r="U193" s="59">
        <v>4</v>
      </c>
      <c r="V193" s="484" t="s">
        <v>38</v>
      </c>
      <c r="W193" s="483">
        <v>6</v>
      </c>
      <c r="X193" s="484" t="s">
        <v>10</v>
      </c>
      <c r="Y193" s="59">
        <v>5</v>
      </c>
      <c r="Z193" s="484" t="s">
        <v>13</v>
      </c>
      <c r="AA193" s="485" t="s">
        <v>20</v>
      </c>
      <c r="AB193" s="486">
        <f t="shared" si="461"/>
        <v>2</v>
      </c>
      <c r="AC193" s="484" t="s">
        <v>33</v>
      </c>
      <c r="AD193" s="487" t="str">
        <f t="shared" ref="AD193" si="570">IFERROR(ROUNDDOWN(ROUND(L191*Q193,0),0)*AB193,"")</f>
        <v/>
      </c>
      <c r="AE193" s="488" t="str">
        <f t="shared" si="515"/>
        <v/>
      </c>
      <c r="AF193" s="489">
        <f t="shared" si="554"/>
        <v>0</v>
      </c>
      <c r="AG193" s="368"/>
      <c r="AH193" s="369"/>
      <c r="AI193" s="370"/>
      <c r="AJ193" s="371"/>
      <c r="AK193" s="372"/>
      <c r="AL193" s="373"/>
      <c r="AM193" s="490"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1" t="str">
        <f>IF(K191&lt;&gt;"","P列・R列に色付け","")</f>
        <v/>
      </c>
      <c r="AP193" s="492"/>
      <c r="AQ193" s="492"/>
      <c r="AW193" s="493"/>
      <c r="AX193" s="452" t="str">
        <f>G191</f>
        <v/>
      </c>
    </row>
    <row r="194" spans="1:50" ht="32.1" customHeight="1">
      <c r="A194" s="1266">
        <v>61</v>
      </c>
      <c r="B194" s="1203" t="str">
        <f>IF(基本情報入力シート!C114="","",基本情報入力シート!C114)</f>
        <v/>
      </c>
      <c r="C194" s="1203"/>
      <c r="D194" s="1203"/>
      <c r="E194" s="1203"/>
      <c r="F194" s="1203"/>
      <c r="G194" s="1206" t="str">
        <f>IF(基本情報入力シート!M114="","",基本情報入力シート!M114)</f>
        <v/>
      </c>
      <c r="H194" s="1206" t="str">
        <f>IF(基本情報入力シート!R114="","",基本情報入力シート!R114)</f>
        <v/>
      </c>
      <c r="I194" s="1206" t="str">
        <f>IF(基本情報入力シート!W114="","",基本情報入力シート!W114)</f>
        <v/>
      </c>
      <c r="J194" s="1206" t="str">
        <f>IF(基本情報入力シート!X114="","",基本情報入力シート!X114)</f>
        <v/>
      </c>
      <c r="K194" s="1206" t="str">
        <f>IF(基本情報入力シート!Y114="","",基本情報入力シート!Y114)</f>
        <v/>
      </c>
      <c r="L194" s="1209" t="str">
        <f>IF(基本情報入力シート!AB114="","",基本情報入力シート!AB114)</f>
        <v/>
      </c>
      <c r="M194" s="456" t="s">
        <v>132</v>
      </c>
      <c r="N194" s="75"/>
      <c r="O194" s="457" t="str">
        <f>IFERROR(VLOOKUP(K194,【参考】数式用!$A$5:$J$37,MATCH(N194,【参考】数式用!$B$4:$J$4,0)+1,0),"")</f>
        <v/>
      </c>
      <c r="P194" s="75"/>
      <c r="Q194" s="457" t="str">
        <f>IFERROR(VLOOKUP(K194,【参考】数式用!$A$5:$J$37,MATCH(P194,【参考】数式用!$B$4:$J$4,0)+1,0),"")</f>
        <v/>
      </c>
      <c r="R194" s="458" t="s">
        <v>15</v>
      </c>
      <c r="S194" s="459">
        <v>6</v>
      </c>
      <c r="T194" s="125" t="s">
        <v>10</v>
      </c>
      <c r="U194" s="39">
        <v>4</v>
      </c>
      <c r="V194" s="125" t="s">
        <v>38</v>
      </c>
      <c r="W194" s="459">
        <v>6</v>
      </c>
      <c r="X194" s="125" t="s">
        <v>10</v>
      </c>
      <c r="Y194" s="39">
        <v>5</v>
      </c>
      <c r="Z194" s="125" t="s">
        <v>13</v>
      </c>
      <c r="AA194" s="460" t="s">
        <v>20</v>
      </c>
      <c r="AB194" s="461">
        <f t="shared" si="461"/>
        <v>2</v>
      </c>
      <c r="AC194" s="125" t="s">
        <v>33</v>
      </c>
      <c r="AD194" s="462" t="str">
        <f t="shared" ref="AD194" si="572">IFERROR(ROUNDDOWN(ROUND(L194*Q194,0),0)*AB194,"")</f>
        <v/>
      </c>
      <c r="AE194" s="463" t="str">
        <f t="shared" ref="AE194" si="573">IFERROR(ROUNDDOWN(ROUND(L194*(Q194-O194),0),0)*AB194,"")</f>
        <v/>
      </c>
      <c r="AF194" s="464"/>
      <c r="AG194" s="374"/>
      <c r="AH194" s="382"/>
      <c r="AI194" s="379"/>
      <c r="AJ194" s="380"/>
      <c r="AK194" s="360"/>
      <c r="AL194" s="361"/>
      <c r="AM194" s="465" t="str">
        <f t="shared" ref="AM194" si="574">IF(AO194="","",IF(Q194&lt;O194,"！加算の要件上は問題ありませんが、令和６年３月と比較して４・５月に加算率が下がる計画になっています。",""))</f>
        <v/>
      </c>
      <c r="AO194" s="466" t="str">
        <f>IF(K194&lt;&gt;"","P列・R列に色付け","")</f>
        <v/>
      </c>
      <c r="AP194" s="467" t="str">
        <f>IFERROR(VLOOKUP(K194,【参考】数式用!$AH$2:$AI$34,2,FALSE),"")</f>
        <v/>
      </c>
      <c r="AQ194" s="469" t="str">
        <f>P194&amp;P195&amp;P196</f>
        <v/>
      </c>
      <c r="AR194" s="467" t="str">
        <f t="shared" ref="AR194" si="575">IF(AF196&lt;&gt;0,IF(AG196="○","入力済","未入力"),"")</f>
        <v/>
      </c>
      <c r="AS194" s="468" t="str">
        <f>IF(OR(P194="処遇加算Ⅰ",P194="処遇加算Ⅱ"),IF(OR(AH194="○",AH194="令和６年度中に満たす"),"入力済","未入力"),"")</f>
        <v/>
      </c>
      <c r="AT194" s="469" t="str">
        <f>IF(P194="処遇加算Ⅲ",IF(AI194="○","入力済","未入力"),"")</f>
        <v/>
      </c>
      <c r="AU194" s="467" t="str">
        <f>IF(P194="処遇加算Ⅰ",IF(OR(AJ194="○",AJ194="令和６年度中に満たす"),"入力済","未入力"),"")</f>
        <v/>
      </c>
      <c r="AV194" s="467" t="str">
        <f t="shared" ref="AV194" si="576">IF(OR(P195="特定加算Ⅰ",P195="特定加算Ⅱ"),1,"")</f>
        <v/>
      </c>
      <c r="AW194" s="452" t="str">
        <f>IF(P195="特定加算Ⅰ",IF(AL195="","未入力","入力済"),"")</f>
        <v/>
      </c>
      <c r="AX194" s="452" t="str">
        <f>G194</f>
        <v/>
      </c>
    </row>
    <row r="195" spans="1:50" ht="32.1" customHeight="1">
      <c r="A195" s="1267"/>
      <c r="B195" s="1204"/>
      <c r="C195" s="1204"/>
      <c r="D195" s="1204"/>
      <c r="E195" s="1204"/>
      <c r="F195" s="1204"/>
      <c r="G195" s="1207"/>
      <c r="H195" s="1207"/>
      <c r="I195" s="1207"/>
      <c r="J195" s="1207"/>
      <c r="K195" s="1207"/>
      <c r="L195" s="1210"/>
      <c r="M195" s="470" t="s">
        <v>121</v>
      </c>
      <c r="N195" s="76"/>
      <c r="O195" s="471" t="str">
        <f>IFERROR(VLOOKUP(K194,【参考】数式用!$A$5:$J$37,MATCH(N195,【参考】数式用!$B$4:$J$4,0)+1,0),"")</f>
        <v/>
      </c>
      <c r="P195" s="76"/>
      <c r="Q195" s="471" t="str">
        <f>IFERROR(VLOOKUP(K194,【参考】数式用!$A$5:$J$37,MATCH(P195,【参考】数式用!$B$4:$J$4,0)+1,0),"")</f>
        <v/>
      </c>
      <c r="R195" s="96" t="s">
        <v>15</v>
      </c>
      <c r="S195" s="472">
        <v>6</v>
      </c>
      <c r="T195" s="97" t="s">
        <v>10</v>
      </c>
      <c r="U195" s="58">
        <v>4</v>
      </c>
      <c r="V195" s="97" t="s">
        <v>38</v>
      </c>
      <c r="W195" s="472">
        <v>6</v>
      </c>
      <c r="X195" s="97" t="s">
        <v>10</v>
      </c>
      <c r="Y195" s="58">
        <v>5</v>
      </c>
      <c r="Z195" s="97" t="s">
        <v>13</v>
      </c>
      <c r="AA195" s="473" t="s">
        <v>20</v>
      </c>
      <c r="AB195" s="474">
        <f t="shared" si="461"/>
        <v>2</v>
      </c>
      <c r="AC195" s="97" t="s">
        <v>33</v>
      </c>
      <c r="AD195" s="475" t="str">
        <f t="shared" ref="AD195" si="577">IFERROR(ROUNDDOWN(ROUND(L194*Q195,0),0)*AB195,"")</f>
        <v/>
      </c>
      <c r="AE195" s="476" t="str">
        <f t="shared" ref="AE195" si="578">IFERROR(ROUNDDOWN(ROUND(L194*(Q195-O195),0),0)*AB195,"")</f>
        <v/>
      </c>
      <c r="AF195" s="477"/>
      <c r="AG195" s="362"/>
      <c r="AH195" s="363"/>
      <c r="AI195" s="364"/>
      <c r="AJ195" s="365"/>
      <c r="AK195" s="366"/>
      <c r="AL195" s="367"/>
      <c r="AM195" s="478"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79"/>
      <c r="AO195" s="466" t="str">
        <f>IF(K194&lt;&gt;"","P列・R列に色付け","")</f>
        <v/>
      </c>
      <c r="AX195" s="452" t="str">
        <f>G194</f>
        <v/>
      </c>
    </row>
    <row r="196" spans="1:50" ht="32.1" customHeight="1" thickBot="1">
      <c r="A196" s="1268"/>
      <c r="B196" s="1205"/>
      <c r="C196" s="1205"/>
      <c r="D196" s="1205"/>
      <c r="E196" s="1205"/>
      <c r="F196" s="1205"/>
      <c r="G196" s="1208"/>
      <c r="H196" s="1208"/>
      <c r="I196" s="1208"/>
      <c r="J196" s="1208"/>
      <c r="K196" s="1208"/>
      <c r="L196" s="1211"/>
      <c r="M196" s="480" t="s">
        <v>114</v>
      </c>
      <c r="N196" s="79"/>
      <c r="O196" s="481" t="str">
        <f>IFERROR(VLOOKUP(K194,【参考】数式用!$A$5:$J$37,MATCH(N196,【参考】数式用!$B$4:$J$4,0)+1,0),"")</f>
        <v/>
      </c>
      <c r="P196" s="77"/>
      <c r="Q196" s="481" t="str">
        <f>IFERROR(VLOOKUP(K194,【参考】数式用!$A$5:$J$37,MATCH(P196,【参考】数式用!$B$4:$J$4,0)+1,0),"")</f>
        <v/>
      </c>
      <c r="R196" s="482" t="s">
        <v>15</v>
      </c>
      <c r="S196" s="483">
        <v>6</v>
      </c>
      <c r="T196" s="484" t="s">
        <v>10</v>
      </c>
      <c r="U196" s="59">
        <v>4</v>
      </c>
      <c r="V196" s="484" t="s">
        <v>38</v>
      </c>
      <c r="W196" s="483">
        <v>6</v>
      </c>
      <c r="X196" s="484" t="s">
        <v>10</v>
      </c>
      <c r="Y196" s="59">
        <v>5</v>
      </c>
      <c r="Z196" s="484" t="s">
        <v>13</v>
      </c>
      <c r="AA196" s="485" t="s">
        <v>20</v>
      </c>
      <c r="AB196" s="486">
        <f t="shared" si="461"/>
        <v>2</v>
      </c>
      <c r="AC196" s="484" t="s">
        <v>33</v>
      </c>
      <c r="AD196" s="487" t="str">
        <f t="shared" ref="AD196" si="580">IFERROR(ROUNDDOWN(ROUND(L194*Q196,0),0)*AB196,"")</f>
        <v/>
      </c>
      <c r="AE196" s="488" t="str">
        <f t="shared" ref="AE196" si="581">IFERROR(ROUNDDOWN(ROUND(L194*(Q196-O196),0),0)*AB196,"")</f>
        <v/>
      </c>
      <c r="AF196" s="489">
        <f t="shared" si="554"/>
        <v>0</v>
      </c>
      <c r="AG196" s="368"/>
      <c r="AH196" s="369"/>
      <c r="AI196" s="370"/>
      <c r="AJ196" s="371"/>
      <c r="AK196" s="372"/>
      <c r="AL196" s="373"/>
      <c r="AM196" s="490"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1" t="str">
        <f>IF(K194&lt;&gt;"","P列・R列に色付け","")</f>
        <v/>
      </c>
      <c r="AP196" s="492"/>
      <c r="AQ196" s="492"/>
      <c r="AW196" s="493"/>
      <c r="AX196" s="452" t="str">
        <f>G194</f>
        <v/>
      </c>
    </row>
    <row r="197" spans="1:50" ht="32.1" customHeight="1">
      <c r="A197" s="1266">
        <v>62</v>
      </c>
      <c r="B197" s="1203" t="str">
        <f>IF(基本情報入力シート!C115="","",基本情報入力シート!C115)</f>
        <v/>
      </c>
      <c r="C197" s="1203"/>
      <c r="D197" s="1203"/>
      <c r="E197" s="1203"/>
      <c r="F197" s="1203"/>
      <c r="G197" s="1206" t="str">
        <f>IF(基本情報入力シート!M115="","",基本情報入力シート!M115)</f>
        <v/>
      </c>
      <c r="H197" s="1206" t="str">
        <f>IF(基本情報入力シート!R115="","",基本情報入力シート!R115)</f>
        <v/>
      </c>
      <c r="I197" s="1206" t="str">
        <f>IF(基本情報入力シート!W115="","",基本情報入力シート!W115)</f>
        <v/>
      </c>
      <c r="J197" s="1206" t="str">
        <f>IF(基本情報入力シート!X115="","",基本情報入力シート!X115)</f>
        <v/>
      </c>
      <c r="K197" s="1206" t="str">
        <f>IF(基本情報入力シート!Y115="","",基本情報入力シート!Y115)</f>
        <v/>
      </c>
      <c r="L197" s="1209" t="str">
        <f>IF(基本情報入力シート!AB115="","",基本情報入力シート!AB115)</f>
        <v/>
      </c>
      <c r="M197" s="456" t="s">
        <v>132</v>
      </c>
      <c r="N197" s="75"/>
      <c r="O197" s="457" t="str">
        <f>IFERROR(VLOOKUP(K197,【参考】数式用!$A$5:$J$37,MATCH(N197,【参考】数式用!$B$4:$J$4,0)+1,0),"")</f>
        <v/>
      </c>
      <c r="P197" s="75"/>
      <c r="Q197" s="457" t="str">
        <f>IFERROR(VLOOKUP(K197,【参考】数式用!$A$5:$J$37,MATCH(P197,【参考】数式用!$B$4:$J$4,0)+1,0),"")</f>
        <v/>
      </c>
      <c r="R197" s="458" t="s">
        <v>15</v>
      </c>
      <c r="S197" s="459">
        <v>6</v>
      </c>
      <c r="T197" s="125" t="s">
        <v>10</v>
      </c>
      <c r="U197" s="39">
        <v>4</v>
      </c>
      <c r="V197" s="125" t="s">
        <v>38</v>
      </c>
      <c r="W197" s="459">
        <v>6</v>
      </c>
      <c r="X197" s="125" t="s">
        <v>10</v>
      </c>
      <c r="Y197" s="39">
        <v>5</v>
      </c>
      <c r="Z197" s="125" t="s">
        <v>13</v>
      </c>
      <c r="AA197" s="460" t="s">
        <v>20</v>
      </c>
      <c r="AB197" s="461">
        <f t="shared" si="461"/>
        <v>2</v>
      </c>
      <c r="AC197" s="125" t="s">
        <v>33</v>
      </c>
      <c r="AD197" s="462" t="str">
        <f t="shared" ref="AD197" si="583">IFERROR(ROUNDDOWN(ROUND(L197*Q197,0),0)*AB197,"")</f>
        <v/>
      </c>
      <c r="AE197" s="463" t="str">
        <f t="shared" si="496"/>
        <v/>
      </c>
      <c r="AF197" s="464"/>
      <c r="AG197" s="374"/>
      <c r="AH197" s="382"/>
      <c r="AI197" s="379"/>
      <c r="AJ197" s="380"/>
      <c r="AK197" s="360"/>
      <c r="AL197" s="361"/>
      <c r="AM197" s="465" t="str">
        <f t="shared" ref="AM197" si="584">IF(AO197="","",IF(Q197&lt;O197,"！加算の要件上は問題ありませんが、令和６年３月と比較して４・５月に加算率が下がる計画になっています。",""))</f>
        <v/>
      </c>
      <c r="AO197" s="466" t="str">
        <f>IF(K197&lt;&gt;"","P列・R列に色付け","")</f>
        <v/>
      </c>
      <c r="AP197" s="467" t="str">
        <f>IFERROR(VLOOKUP(K197,【参考】数式用!$AH$2:$AI$34,2,FALSE),"")</f>
        <v/>
      </c>
      <c r="AQ197" s="469" t="str">
        <f>P197&amp;P198&amp;P199</f>
        <v/>
      </c>
      <c r="AR197" s="467" t="str">
        <f t="shared" ref="AR197" si="585">IF(AF199&lt;&gt;0,IF(AG199="○","入力済","未入力"),"")</f>
        <v/>
      </c>
      <c r="AS197" s="468" t="str">
        <f>IF(OR(P197="処遇加算Ⅰ",P197="処遇加算Ⅱ"),IF(OR(AH197="○",AH197="令和６年度中に満たす"),"入力済","未入力"),"")</f>
        <v/>
      </c>
      <c r="AT197" s="469" t="str">
        <f>IF(P197="処遇加算Ⅲ",IF(AI197="○","入力済","未入力"),"")</f>
        <v/>
      </c>
      <c r="AU197" s="467" t="str">
        <f>IF(P197="処遇加算Ⅰ",IF(OR(AJ197="○",AJ197="令和６年度中に満たす"),"入力済","未入力"),"")</f>
        <v/>
      </c>
      <c r="AV197" s="467" t="str">
        <f t="shared" ref="AV197" si="586">IF(OR(P198="特定加算Ⅰ",P198="特定加算Ⅱ"),1,"")</f>
        <v/>
      </c>
      <c r="AW197" s="452" t="str">
        <f>IF(P198="特定加算Ⅰ",IF(AL198="","未入力","入力済"),"")</f>
        <v/>
      </c>
      <c r="AX197" s="452" t="str">
        <f>G197</f>
        <v/>
      </c>
    </row>
    <row r="198" spans="1:50" ht="32.1" customHeight="1">
      <c r="A198" s="1267"/>
      <c r="B198" s="1204"/>
      <c r="C198" s="1204"/>
      <c r="D198" s="1204"/>
      <c r="E198" s="1204"/>
      <c r="F198" s="1204"/>
      <c r="G198" s="1207"/>
      <c r="H198" s="1207"/>
      <c r="I198" s="1207"/>
      <c r="J198" s="1207"/>
      <c r="K198" s="1207"/>
      <c r="L198" s="1210"/>
      <c r="M198" s="470" t="s">
        <v>121</v>
      </c>
      <c r="N198" s="76"/>
      <c r="O198" s="471" t="str">
        <f>IFERROR(VLOOKUP(K197,【参考】数式用!$A$5:$J$37,MATCH(N198,【参考】数式用!$B$4:$J$4,0)+1,0),"")</f>
        <v/>
      </c>
      <c r="P198" s="76"/>
      <c r="Q198" s="471" t="str">
        <f>IFERROR(VLOOKUP(K197,【参考】数式用!$A$5:$J$37,MATCH(P198,【参考】数式用!$B$4:$J$4,0)+1,0),"")</f>
        <v/>
      </c>
      <c r="R198" s="96" t="s">
        <v>15</v>
      </c>
      <c r="S198" s="472">
        <v>6</v>
      </c>
      <c r="T198" s="97" t="s">
        <v>10</v>
      </c>
      <c r="U198" s="58">
        <v>4</v>
      </c>
      <c r="V198" s="97" t="s">
        <v>38</v>
      </c>
      <c r="W198" s="472">
        <v>6</v>
      </c>
      <c r="X198" s="97" t="s">
        <v>10</v>
      </c>
      <c r="Y198" s="58">
        <v>5</v>
      </c>
      <c r="Z198" s="97" t="s">
        <v>13</v>
      </c>
      <c r="AA198" s="473" t="s">
        <v>20</v>
      </c>
      <c r="AB198" s="474">
        <f t="shared" si="461"/>
        <v>2</v>
      </c>
      <c r="AC198" s="97" t="s">
        <v>33</v>
      </c>
      <c r="AD198" s="475" t="str">
        <f t="shared" ref="AD198" si="587">IFERROR(ROUNDDOWN(ROUND(L197*Q198,0),0)*AB198,"")</f>
        <v/>
      </c>
      <c r="AE198" s="476" t="str">
        <f t="shared" si="501"/>
        <v/>
      </c>
      <c r="AF198" s="477"/>
      <c r="AG198" s="362"/>
      <c r="AH198" s="363"/>
      <c r="AI198" s="364"/>
      <c r="AJ198" s="365"/>
      <c r="AK198" s="366"/>
      <c r="AL198" s="367"/>
      <c r="AM198" s="478"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79"/>
      <c r="AO198" s="466" t="str">
        <f>IF(K197&lt;&gt;"","P列・R列に色付け","")</f>
        <v/>
      </c>
      <c r="AX198" s="452" t="str">
        <f>G197</f>
        <v/>
      </c>
    </row>
    <row r="199" spans="1:50" ht="32.1" customHeight="1" thickBot="1">
      <c r="A199" s="1268"/>
      <c r="B199" s="1205"/>
      <c r="C199" s="1205"/>
      <c r="D199" s="1205"/>
      <c r="E199" s="1205"/>
      <c r="F199" s="1205"/>
      <c r="G199" s="1208"/>
      <c r="H199" s="1208"/>
      <c r="I199" s="1208"/>
      <c r="J199" s="1208"/>
      <c r="K199" s="1208"/>
      <c r="L199" s="1211"/>
      <c r="M199" s="480" t="s">
        <v>114</v>
      </c>
      <c r="N199" s="79"/>
      <c r="O199" s="481" t="str">
        <f>IFERROR(VLOOKUP(K197,【参考】数式用!$A$5:$J$37,MATCH(N199,【参考】数式用!$B$4:$J$4,0)+1,0),"")</f>
        <v/>
      </c>
      <c r="P199" s="77"/>
      <c r="Q199" s="481" t="str">
        <f>IFERROR(VLOOKUP(K197,【参考】数式用!$A$5:$J$37,MATCH(P199,【参考】数式用!$B$4:$J$4,0)+1,0),"")</f>
        <v/>
      </c>
      <c r="R199" s="482" t="s">
        <v>15</v>
      </c>
      <c r="S199" s="483">
        <v>6</v>
      </c>
      <c r="T199" s="484" t="s">
        <v>10</v>
      </c>
      <c r="U199" s="59">
        <v>4</v>
      </c>
      <c r="V199" s="484" t="s">
        <v>38</v>
      </c>
      <c r="W199" s="483">
        <v>6</v>
      </c>
      <c r="X199" s="484" t="s">
        <v>10</v>
      </c>
      <c r="Y199" s="59">
        <v>5</v>
      </c>
      <c r="Z199" s="484" t="s">
        <v>13</v>
      </c>
      <c r="AA199" s="485" t="s">
        <v>20</v>
      </c>
      <c r="AB199" s="486">
        <f t="shared" si="461"/>
        <v>2</v>
      </c>
      <c r="AC199" s="484" t="s">
        <v>33</v>
      </c>
      <c r="AD199" s="487" t="str">
        <f t="shared" ref="AD199" si="589">IFERROR(ROUNDDOWN(ROUND(L197*Q199,0),0)*AB199,"")</f>
        <v/>
      </c>
      <c r="AE199" s="488" t="str">
        <f t="shared" si="504"/>
        <v/>
      </c>
      <c r="AF199" s="489">
        <f t="shared" si="554"/>
        <v>0</v>
      </c>
      <c r="AG199" s="368"/>
      <c r="AH199" s="369"/>
      <c r="AI199" s="370"/>
      <c r="AJ199" s="371"/>
      <c r="AK199" s="372"/>
      <c r="AL199" s="373"/>
      <c r="AM199" s="490"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1" t="str">
        <f>IF(K197&lt;&gt;"","P列・R列に色付け","")</f>
        <v/>
      </c>
      <c r="AP199" s="492"/>
      <c r="AQ199" s="492"/>
      <c r="AW199" s="493"/>
      <c r="AX199" s="452" t="str">
        <f>G197</f>
        <v/>
      </c>
    </row>
    <row r="200" spans="1:50" ht="32.1" customHeight="1">
      <c r="A200" s="1266">
        <v>63</v>
      </c>
      <c r="B200" s="1203" t="str">
        <f>IF(基本情報入力シート!C116="","",基本情報入力シート!C116)</f>
        <v/>
      </c>
      <c r="C200" s="1203"/>
      <c r="D200" s="1203"/>
      <c r="E200" s="1203"/>
      <c r="F200" s="1203"/>
      <c r="G200" s="1206" t="str">
        <f>IF(基本情報入力シート!M116="","",基本情報入力シート!M116)</f>
        <v/>
      </c>
      <c r="H200" s="1206" t="str">
        <f>IF(基本情報入力シート!R116="","",基本情報入力シート!R116)</f>
        <v/>
      </c>
      <c r="I200" s="1206" t="str">
        <f>IF(基本情報入力シート!W116="","",基本情報入力シート!W116)</f>
        <v/>
      </c>
      <c r="J200" s="1206" t="str">
        <f>IF(基本情報入力シート!X116="","",基本情報入力シート!X116)</f>
        <v/>
      </c>
      <c r="K200" s="1206" t="str">
        <f>IF(基本情報入力シート!Y116="","",基本情報入力シート!Y116)</f>
        <v/>
      </c>
      <c r="L200" s="1209" t="str">
        <f>IF(基本情報入力シート!AB116="","",基本情報入力シート!AB116)</f>
        <v/>
      </c>
      <c r="M200" s="456" t="s">
        <v>132</v>
      </c>
      <c r="N200" s="75"/>
      <c r="O200" s="457" t="str">
        <f>IFERROR(VLOOKUP(K200,【参考】数式用!$A$5:$J$37,MATCH(N200,【参考】数式用!$B$4:$J$4,0)+1,0),"")</f>
        <v/>
      </c>
      <c r="P200" s="75"/>
      <c r="Q200" s="457" t="str">
        <f>IFERROR(VLOOKUP(K200,【参考】数式用!$A$5:$J$37,MATCH(P200,【参考】数式用!$B$4:$J$4,0)+1,0),"")</f>
        <v/>
      </c>
      <c r="R200" s="458" t="s">
        <v>15</v>
      </c>
      <c r="S200" s="459">
        <v>6</v>
      </c>
      <c r="T200" s="125" t="s">
        <v>10</v>
      </c>
      <c r="U200" s="39">
        <v>4</v>
      </c>
      <c r="V200" s="125" t="s">
        <v>38</v>
      </c>
      <c r="W200" s="459">
        <v>6</v>
      </c>
      <c r="X200" s="125" t="s">
        <v>10</v>
      </c>
      <c r="Y200" s="39">
        <v>5</v>
      </c>
      <c r="Z200" s="125" t="s">
        <v>13</v>
      </c>
      <c r="AA200" s="460" t="s">
        <v>20</v>
      </c>
      <c r="AB200" s="461">
        <f t="shared" si="461"/>
        <v>2</v>
      </c>
      <c r="AC200" s="125" t="s">
        <v>33</v>
      </c>
      <c r="AD200" s="462" t="str">
        <f t="shared" ref="AD200" si="591">IFERROR(ROUNDDOWN(ROUND(L200*Q200,0),0)*AB200,"")</f>
        <v/>
      </c>
      <c r="AE200" s="463" t="str">
        <f t="shared" si="507"/>
        <v/>
      </c>
      <c r="AF200" s="464"/>
      <c r="AG200" s="374"/>
      <c r="AH200" s="382"/>
      <c r="AI200" s="379"/>
      <c r="AJ200" s="380"/>
      <c r="AK200" s="360"/>
      <c r="AL200" s="361"/>
      <c r="AM200" s="465" t="str">
        <f t="shared" ref="AM200" si="592">IF(AO200="","",IF(Q200&lt;O200,"！加算の要件上は問題ありませんが、令和６年３月と比較して４・５月に加算率が下がる計画になっています。",""))</f>
        <v/>
      </c>
      <c r="AO200" s="466" t="str">
        <f>IF(K200&lt;&gt;"","P列・R列に色付け","")</f>
        <v/>
      </c>
      <c r="AP200" s="467" t="str">
        <f>IFERROR(VLOOKUP(K200,【参考】数式用!$AH$2:$AI$34,2,FALSE),"")</f>
        <v/>
      </c>
      <c r="AQ200" s="469" t="str">
        <f>P200&amp;P201&amp;P202</f>
        <v/>
      </c>
      <c r="AR200" s="467" t="str">
        <f t="shared" ref="AR200" si="593">IF(AF202&lt;&gt;0,IF(AG202="○","入力済","未入力"),"")</f>
        <v/>
      </c>
      <c r="AS200" s="468" t="str">
        <f>IF(OR(P200="処遇加算Ⅰ",P200="処遇加算Ⅱ"),IF(OR(AH200="○",AH200="令和６年度中に満たす"),"入力済","未入力"),"")</f>
        <v/>
      </c>
      <c r="AT200" s="469" t="str">
        <f>IF(P200="処遇加算Ⅲ",IF(AI200="○","入力済","未入力"),"")</f>
        <v/>
      </c>
      <c r="AU200" s="467" t="str">
        <f>IF(P200="処遇加算Ⅰ",IF(OR(AJ200="○",AJ200="令和６年度中に満たす"),"入力済","未入力"),"")</f>
        <v/>
      </c>
      <c r="AV200" s="467" t="str">
        <f t="shared" ref="AV200" si="594">IF(OR(P201="特定加算Ⅰ",P201="特定加算Ⅱ"),1,"")</f>
        <v/>
      </c>
      <c r="AW200" s="452" t="str">
        <f>IF(P201="特定加算Ⅰ",IF(AL201="","未入力","入力済"),"")</f>
        <v/>
      </c>
      <c r="AX200" s="452" t="str">
        <f>G200</f>
        <v/>
      </c>
    </row>
    <row r="201" spans="1:50" ht="32.1" customHeight="1">
      <c r="A201" s="1267"/>
      <c r="B201" s="1204"/>
      <c r="C201" s="1204"/>
      <c r="D201" s="1204"/>
      <c r="E201" s="1204"/>
      <c r="F201" s="1204"/>
      <c r="G201" s="1207"/>
      <c r="H201" s="1207"/>
      <c r="I201" s="1207"/>
      <c r="J201" s="1207"/>
      <c r="K201" s="1207"/>
      <c r="L201" s="1210"/>
      <c r="M201" s="470" t="s">
        <v>121</v>
      </c>
      <c r="N201" s="76"/>
      <c r="O201" s="471" t="str">
        <f>IFERROR(VLOOKUP(K200,【参考】数式用!$A$5:$J$37,MATCH(N201,【参考】数式用!$B$4:$J$4,0)+1,0),"")</f>
        <v/>
      </c>
      <c r="P201" s="76"/>
      <c r="Q201" s="471" t="str">
        <f>IFERROR(VLOOKUP(K200,【参考】数式用!$A$5:$J$37,MATCH(P201,【参考】数式用!$B$4:$J$4,0)+1,0),"")</f>
        <v/>
      </c>
      <c r="R201" s="96" t="s">
        <v>15</v>
      </c>
      <c r="S201" s="472">
        <v>6</v>
      </c>
      <c r="T201" s="97" t="s">
        <v>10</v>
      </c>
      <c r="U201" s="58">
        <v>4</v>
      </c>
      <c r="V201" s="97" t="s">
        <v>38</v>
      </c>
      <c r="W201" s="472">
        <v>6</v>
      </c>
      <c r="X201" s="97" t="s">
        <v>10</v>
      </c>
      <c r="Y201" s="58">
        <v>5</v>
      </c>
      <c r="Z201" s="97" t="s">
        <v>13</v>
      </c>
      <c r="AA201" s="473" t="s">
        <v>20</v>
      </c>
      <c r="AB201" s="474">
        <f t="shared" si="461"/>
        <v>2</v>
      </c>
      <c r="AC201" s="97" t="s">
        <v>33</v>
      </c>
      <c r="AD201" s="475" t="str">
        <f t="shared" ref="AD201" si="595">IFERROR(ROUNDDOWN(ROUND(L200*Q201,0),0)*AB201,"")</f>
        <v/>
      </c>
      <c r="AE201" s="476" t="str">
        <f t="shared" si="512"/>
        <v/>
      </c>
      <c r="AF201" s="477"/>
      <c r="AG201" s="362"/>
      <c r="AH201" s="363"/>
      <c r="AI201" s="364"/>
      <c r="AJ201" s="365"/>
      <c r="AK201" s="366"/>
      <c r="AL201" s="367"/>
      <c r="AM201" s="478"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79"/>
      <c r="AO201" s="466" t="str">
        <f>IF(K200&lt;&gt;"","P列・R列に色付け","")</f>
        <v/>
      </c>
      <c r="AX201" s="452" t="str">
        <f>G200</f>
        <v/>
      </c>
    </row>
    <row r="202" spans="1:50" ht="32.1" customHeight="1" thickBot="1">
      <c r="A202" s="1268"/>
      <c r="B202" s="1205"/>
      <c r="C202" s="1205"/>
      <c r="D202" s="1205"/>
      <c r="E202" s="1205"/>
      <c r="F202" s="1205"/>
      <c r="G202" s="1208"/>
      <c r="H202" s="1208"/>
      <c r="I202" s="1208"/>
      <c r="J202" s="1208"/>
      <c r="K202" s="1208"/>
      <c r="L202" s="1211"/>
      <c r="M202" s="480" t="s">
        <v>114</v>
      </c>
      <c r="N202" s="79"/>
      <c r="O202" s="481" t="str">
        <f>IFERROR(VLOOKUP(K200,【参考】数式用!$A$5:$J$37,MATCH(N202,【参考】数式用!$B$4:$J$4,0)+1,0),"")</f>
        <v/>
      </c>
      <c r="P202" s="77"/>
      <c r="Q202" s="481" t="str">
        <f>IFERROR(VLOOKUP(K200,【参考】数式用!$A$5:$J$37,MATCH(P202,【参考】数式用!$B$4:$J$4,0)+1,0),"")</f>
        <v/>
      </c>
      <c r="R202" s="482" t="s">
        <v>15</v>
      </c>
      <c r="S202" s="483">
        <v>6</v>
      </c>
      <c r="T202" s="484" t="s">
        <v>10</v>
      </c>
      <c r="U202" s="59">
        <v>4</v>
      </c>
      <c r="V202" s="484" t="s">
        <v>38</v>
      </c>
      <c r="W202" s="483">
        <v>6</v>
      </c>
      <c r="X202" s="484" t="s">
        <v>10</v>
      </c>
      <c r="Y202" s="59">
        <v>5</v>
      </c>
      <c r="Z202" s="484" t="s">
        <v>13</v>
      </c>
      <c r="AA202" s="485" t="s">
        <v>20</v>
      </c>
      <c r="AB202" s="486">
        <f t="shared" si="461"/>
        <v>2</v>
      </c>
      <c r="AC202" s="484" t="s">
        <v>33</v>
      </c>
      <c r="AD202" s="487" t="str">
        <f t="shared" ref="AD202" si="597">IFERROR(ROUNDDOWN(ROUND(L200*Q202,0),0)*AB202,"")</f>
        <v/>
      </c>
      <c r="AE202" s="488" t="str">
        <f t="shared" si="515"/>
        <v/>
      </c>
      <c r="AF202" s="489">
        <f t="shared" si="554"/>
        <v>0</v>
      </c>
      <c r="AG202" s="368"/>
      <c r="AH202" s="369"/>
      <c r="AI202" s="370"/>
      <c r="AJ202" s="371"/>
      <c r="AK202" s="372"/>
      <c r="AL202" s="373"/>
      <c r="AM202" s="490"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1" t="str">
        <f>IF(K200&lt;&gt;"","P列・R列に色付け","")</f>
        <v/>
      </c>
      <c r="AP202" s="492"/>
      <c r="AQ202" s="492"/>
      <c r="AW202" s="493"/>
      <c r="AX202" s="452" t="str">
        <f>G200</f>
        <v/>
      </c>
    </row>
    <row r="203" spans="1:50" ht="32.1" customHeight="1">
      <c r="A203" s="1266">
        <v>64</v>
      </c>
      <c r="B203" s="1203" t="str">
        <f>IF(基本情報入力シート!C117="","",基本情報入力シート!C117)</f>
        <v/>
      </c>
      <c r="C203" s="1203"/>
      <c r="D203" s="1203"/>
      <c r="E203" s="1203"/>
      <c r="F203" s="1203"/>
      <c r="G203" s="1206" t="str">
        <f>IF(基本情報入力シート!M117="","",基本情報入力シート!M117)</f>
        <v/>
      </c>
      <c r="H203" s="1206" t="str">
        <f>IF(基本情報入力シート!R117="","",基本情報入力シート!R117)</f>
        <v/>
      </c>
      <c r="I203" s="1206" t="str">
        <f>IF(基本情報入力シート!W117="","",基本情報入力シート!W117)</f>
        <v/>
      </c>
      <c r="J203" s="1206" t="str">
        <f>IF(基本情報入力シート!X117="","",基本情報入力シート!X117)</f>
        <v/>
      </c>
      <c r="K203" s="1206" t="str">
        <f>IF(基本情報入力シート!Y117="","",基本情報入力シート!Y117)</f>
        <v/>
      </c>
      <c r="L203" s="1209" t="str">
        <f>IF(基本情報入力シート!AB117="","",基本情報入力シート!AB117)</f>
        <v/>
      </c>
      <c r="M203" s="456" t="s">
        <v>132</v>
      </c>
      <c r="N203" s="75"/>
      <c r="O203" s="457" t="str">
        <f>IFERROR(VLOOKUP(K203,【参考】数式用!$A$5:$J$37,MATCH(N203,【参考】数式用!$B$4:$J$4,0)+1,0),"")</f>
        <v/>
      </c>
      <c r="P203" s="75"/>
      <c r="Q203" s="457" t="str">
        <f>IFERROR(VLOOKUP(K203,【参考】数式用!$A$5:$J$37,MATCH(P203,【参考】数式用!$B$4:$J$4,0)+1,0),"")</f>
        <v/>
      </c>
      <c r="R203" s="458" t="s">
        <v>15</v>
      </c>
      <c r="S203" s="459">
        <v>6</v>
      </c>
      <c r="T203" s="125" t="s">
        <v>10</v>
      </c>
      <c r="U203" s="39">
        <v>4</v>
      </c>
      <c r="V203" s="125" t="s">
        <v>38</v>
      </c>
      <c r="W203" s="459">
        <v>6</v>
      </c>
      <c r="X203" s="125" t="s">
        <v>10</v>
      </c>
      <c r="Y203" s="39">
        <v>5</v>
      </c>
      <c r="Z203" s="125" t="s">
        <v>13</v>
      </c>
      <c r="AA203" s="460" t="s">
        <v>20</v>
      </c>
      <c r="AB203" s="461">
        <f t="shared" si="461"/>
        <v>2</v>
      </c>
      <c r="AC203" s="125" t="s">
        <v>33</v>
      </c>
      <c r="AD203" s="462" t="str">
        <f t="shared" ref="AD203" si="599">IFERROR(ROUNDDOWN(ROUND(L203*Q203,0),0)*AB203,"")</f>
        <v/>
      </c>
      <c r="AE203" s="463" t="str">
        <f t="shared" ref="AE203" si="600">IFERROR(ROUNDDOWN(ROUND(L203*(Q203-O203),0),0)*AB203,"")</f>
        <v/>
      </c>
      <c r="AF203" s="464"/>
      <c r="AG203" s="374"/>
      <c r="AH203" s="382"/>
      <c r="AI203" s="379"/>
      <c r="AJ203" s="380"/>
      <c r="AK203" s="360"/>
      <c r="AL203" s="361"/>
      <c r="AM203" s="465" t="str">
        <f t="shared" ref="AM203" si="601">IF(AO203="","",IF(Q203&lt;O203,"！加算の要件上は問題ありませんが、令和６年３月と比較して４・５月に加算率が下がる計画になっています。",""))</f>
        <v/>
      </c>
      <c r="AO203" s="466" t="str">
        <f>IF(K203&lt;&gt;"","P列・R列に色付け","")</f>
        <v/>
      </c>
      <c r="AP203" s="467" t="str">
        <f>IFERROR(VLOOKUP(K203,【参考】数式用!$AH$2:$AI$34,2,FALSE),"")</f>
        <v/>
      </c>
      <c r="AQ203" s="469" t="str">
        <f>P203&amp;P204&amp;P205</f>
        <v/>
      </c>
      <c r="AR203" s="467" t="str">
        <f t="shared" ref="AR203" si="602">IF(AF205&lt;&gt;0,IF(AG205="○","入力済","未入力"),"")</f>
        <v/>
      </c>
      <c r="AS203" s="468" t="str">
        <f>IF(OR(P203="処遇加算Ⅰ",P203="処遇加算Ⅱ"),IF(OR(AH203="○",AH203="令和６年度中に満たす"),"入力済","未入力"),"")</f>
        <v/>
      </c>
      <c r="AT203" s="469" t="str">
        <f>IF(P203="処遇加算Ⅲ",IF(AI203="○","入力済","未入力"),"")</f>
        <v/>
      </c>
      <c r="AU203" s="467" t="str">
        <f>IF(P203="処遇加算Ⅰ",IF(OR(AJ203="○",AJ203="令和６年度中に満たす"),"入力済","未入力"),"")</f>
        <v/>
      </c>
      <c r="AV203" s="467" t="str">
        <f t="shared" ref="AV203" si="603">IF(OR(P204="特定加算Ⅰ",P204="特定加算Ⅱ"),1,"")</f>
        <v/>
      </c>
      <c r="AW203" s="452" t="str">
        <f>IF(P204="特定加算Ⅰ",IF(AL204="","未入力","入力済"),"")</f>
        <v/>
      </c>
      <c r="AX203" s="452" t="str">
        <f>G203</f>
        <v/>
      </c>
    </row>
    <row r="204" spans="1:50" ht="32.1" customHeight="1">
      <c r="A204" s="1267"/>
      <c r="B204" s="1204"/>
      <c r="C204" s="1204"/>
      <c r="D204" s="1204"/>
      <c r="E204" s="1204"/>
      <c r="F204" s="1204"/>
      <c r="G204" s="1207"/>
      <c r="H204" s="1207"/>
      <c r="I204" s="1207"/>
      <c r="J204" s="1207"/>
      <c r="K204" s="1207"/>
      <c r="L204" s="1210"/>
      <c r="M204" s="470" t="s">
        <v>121</v>
      </c>
      <c r="N204" s="76"/>
      <c r="O204" s="471" t="str">
        <f>IFERROR(VLOOKUP(K203,【参考】数式用!$A$5:$J$37,MATCH(N204,【参考】数式用!$B$4:$J$4,0)+1,0),"")</f>
        <v/>
      </c>
      <c r="P204" s="76"/>
      <c r="Q204" s="471" t="str">
        <f>IFERROR(VLOOKUP(K203,【参考】数式用!$A$5:$J$37,MATCH(P204,【参考】数式用!$B$4:$J$4,0)+1,0),"")</f>
        <v/>
      </c>
      <c r="R204" s="96" t="s">
        <v>15</v>
      </c>
      <c r="S204" s="472">
        <v>6</v>
      </c>
      <c r="T204" s="97" t="s">
        <v>10</v>
      </c>
      <c r="U204" s="58">
        <v>4</v>
      </c>
      <c r="V204" s="97" t="s">
        <v>38</v>
      </c>
      <c r="W204" s="472">
        <v>6</v>
      </c>
      <c r="X204" s="97" t="s">
        <v>10</v>
      </c>
      <c r="Y204" s="58">
        <v>5</v>
      </c>
      <c r="Z204" s="97" t="s">
        <v>13</v>
      </c>
      <c r="AA204" s="473" t="s">
        <v>20</v>
      </c>
      <c r="AB204" s="474">
        <f t="shared" si="461"/>
        <v>2</v>
      </c>
      <c r="AC204" s="97" t="s">
        <v>33</v>
      </c>
      <c r="AD204" s="475" t="str">
        <f t="shared" ref="AD204" si="604">IFERROR(ROUNDDOWN(ROUND(L203*Q204,0),0)*AB204,"")</f>
        <v/>
      </c>
      <c r="AE204" s="476" t="str">
        <f t="shared" ref="AE204" si="605">IFERROR(ROUNDDOWN(ROUND(L203*(Q204-O204),0),0)*AB204,"")</f>
        <v/>
      </c>
      <c r="AF204" s="477"/>
      <c r="AG204" s="362"/>
      <c r="AH204" s="363"/>
      <c r="AI204" s="364"/>
      <c r="AJ204" s="365"/>
      <c r="AK204" s="366"/>
      <c r="AL204" s="367"/>
      <c r="AM204" s="478"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79"/>
      <c r="AO204" s="466" t="str">
        <f>IF(K203&lt;&gt;"","P列・R列に色付け","")</f>
        <v/>
      </c>
      <c r="AX204" s="452" t="str">
        <f>G203</f>
        <v/>
      </c>
    </row>
    <row r="205" spans="1:50" ht="32.1" customHeight="1" thickBot="1">
      <c r="A205" s="1268"/>
      <c r="B205" s="1205"/>
      <c r="C205" s="1205"/>
      <c r="D205" s="1205"/>
      <c r="E205" s="1205"/>
      <c r="F205" s="1205"/>
      <c r="G205" s="1208"/>
      <c r="H205" s="1208"/>
      <c r="I205" s="1208"/>
      <c r="J205" s="1208"/>
      <c r="K205" s="1208"/>
      <c r="L205" s="1211"/>
      <c r="M205" s="480" t="s">
        <v>114</v>
      </c>
      <c r="N205" s="79"/>
      <c r="O205" s="481" t="str">
        <f>IFERROR(VLOOKUP(K203,【参考】数式用!$A$5:$J$37,MATCH(N205,【参考】数式用!$B$4:$J$4,0)+1,0),"")</f>
        <v/>
      </c>
      <c r="P205" s="77"/>
      <c r="Q205" s="481" t="str">
        <f>IFERROR(VLOOKUP(K203,【参考】数式用!$A$5:$J$37,MATCH(P205,【参考】数式用!$B$4:$J$4,0)+1,0),"")</f>
        <v/>
      </c>
      <c r="R205" s="482" t="s">
        <v>15</v>
      </c>
      <c r="S205" s="483">
        <v>6</v>
      </c>
      <c r="T205" s="484" t="s">
        <v>10</v>
      </c>
      <c r="U205" s="59">
        <v>4</v>
      </c>
      <c r="V205" s="484" t="s">
        <v>38</v>
      </c>
      <c r="W205" s="483">
        <v>6</v>
      </c>
      <c r="X205" s="484" t="s">
        <v>10</v>
      </c>
      <c r="Y205" s="59">
        <v>5</v>
      </c>
      <c r="Z205" s="484" t="s">
        <v>13</v>
      </c>
      <c r="AA205" s="485" t="s">
        <v>20</v>
      </c>
      <c r="AB205" s="486">
        <f t="shared" si="461"/>
        <v>2</v>
      </c>
      <c r="AC205" s="484" t="s">
        <v>33</v>
      </c>
      <c r="AD205" s="487" t="str">
        <f t="shared" ref="AD205" si="607">IFERROR(ROUNDDOWN(ROUND(L203*Q205,0),0)*AB205,"")</f>
        <v/>
      </c>
      <c r="AE205" s="488" t="str">
        <f t="shared" ref="AE205" si="608">IFERROR(ROUNDDOWN(ROUND(L203*(Q205-O205),0),0)*AB205,"")</f>
        <v/>
      </c>
      <c r="AF205" s="489">
        <f t="shared" si="554"/>
        <v>0</v>
      </c>
      <c r="AG205" s="368"/>
      <c r="AH205" s="369"/>
      <c r="AI205" s="370"/>
      <c r="AJ205" s="371"/>
      <c r="AK205" s="372"/>
      <c r="AL205" s="373"/>
      <c r="AM205" s="490"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1" t="str">
        <f>IF(K203&lt;&gt;"","P列・R列に色付け","")</f>
        <v/>
      </c>
      <c r="AP205" s="492"/>
      <c r="AQ205" s="492"/>
      <c r="AW205" s="493"/>
      <c r="AX205" s="452" t="str">
        <f>G203</f>
        <v/>
      </c>
    </row>
    <row r="206" spans="1:50" ht="32.1" customHeight="1">
      <c r="A206" s="1266">
        <v>65</v>
      </c>
      <c r="B206" s="1203" t="str">
        <f>IF(基本情報入力シート!C118="","",基本情報入力シート!C118)</f>
        <v/>
      </c>
      <c r="C206" s="1203"/>
      <c r="D206" s="1203"/>
      <c r="E206" s="1203"/>
      <c r="F206" s="1203"/>
      <c r="G206" s="1206" t="str">
        <f>IF(基本情報入力シート!M118="","",基本情報入力シート!M118)</f>
        <v/>
      </c>
      <c r="H206" s="1206" t="str">
        <f>IF(基本情報入力シート!R118="","",基本情報入力シート!R118)</f>
        <v/>
      </c>
      <c r="I206" s="1206" t="str">
        <f>IF(基本情報入力シート!W118="","",基本情報入力シート!W118)</f>
        <v/>
      </c>
      <c r="J206" s="1206" t="str">
        <f>IF(基本情報入力シート!X118="","",基本情報入力シート!X118)</f>
        <v/>
      </c>
      <c r="K206" s="1206" t="str">
        <f>IF(基本情報入力シート!Y118="","",基本情報入力シート!Y118)</f>
        <v/>
      </c>
      <c r="L206" s="1209" t="str">
        <f>IF(基本情報入力シート!AB118="","",基本情報入力シート!AB118)</f>
        <v/>
      </c>
      <c r="M206" s="456" t="s">
        <v>132</v>
      </c>
      <c r="N206" s="75"/>
      <c r="O206" s="457" t="str">
        <f>IFERROR(VLOOKUP(K206,【参考】数式用!$A$5:$J$37,MATCH(N206,【参考】数式用!$B$4:$J$4,0)+1,0),"")</f>
        <v/>
      </c>
      <c r="P206" s="75"/>
      <c r="Q206" s="457" t="str">
        <f>IFERROR(VLOOKUP(K206,【参考】数式用!$A$5:$J$37,MATCH(P206,【参考】数式用!$B$4:$J$4,0)+1,0),"")</f>
        <v/>
      </c>
      <c r="R206" s="458" t="s">
        <v>15</v>
      </c>
      <c r="S206" s="459">
        <v>6</v>
      </c>
      <c r="T206" s="125" t="s">
        <v>10</v>
      </c>
      <c r="U206" s="39">
        <v>4</v>
      </c>
      <c r="V206" s="125" t="s">
        <v>38</v>
      </c>
      <c r="W206" s="459">
        <v>6</v>
      </c>
      <c r="X206" s="125" t="s">
        <v>10</v>
      </c>
      <c r="Y206" s="39">
        <v>5</v>
      </c>
      <c r="Z206" s="125" t="s">
        <v>13</v>
      </c>
      <c r="AA206" s="460" t="s">
        <v>20</v>
      </c>
      <c r="AB206" s="461">
        <f t="shared" si="461"/>
        <v>2</v>
      </c>
      <c r="AC206" s="125" t="s">
        <v>33</v>
      </c>
      <c r="AD206" s="462" t="str">
        <f t="shared" ref="AD206" si="610">IFERROR(ROUNDDOWN(ROUND(L206*Q206,0),0)*AB206,"")</f>
        <v/>
      </c>
      <c r="AE206" s="463" t="str">
        <f t="shared" si="496"/>
        <v/>
      </c>
      <c r="AF206" s="464"/>
      <c r="AG206" s="374"/>
      <c r="AH206" s="382"/>
      <c r="AI206" s="379"/>
      <c r="AJ206" s="380"/>
      <c r="AK206" s="360"/>
      <c r="AL206" s="361"/>
      <c r="AM206" s="465" t="str">
        <f t="shared" ref="AM206" si="611">IF(AO206="","",IF(Q206&lt;O206,"！加算の要件上は問題ありませんが、令和６年３月と比較して４・５月に加算率が下がる計画になっています。",""))</f>
        <v/>
      </c>
      <c r="AO206" s="466" t="str">
        <f>IF(K206&lt;&gt;"","P列・R列に色付け","")</f>
        <v/>
      </c>
      <c r="AP206" s="467" t="str">
        <f>IFERROR(VLOOKUP(K206,【参考】数式用!$AH$2:$AI$34,2,FALSE),"")</f>
        <v/>
      </c>
      <c r="AQ206" s="469" t="str">
        <f>P206&amp;P207&amp;P208</f>
        <v/>
      </c>
      <c r="AR206" s="467" t="str">
        <f t="shared" ref="AR206" si="612">IF(AF208&lt;&gt;0,IF(AG208="○","入力済","未入力"),"")</f>
        <v/>
      </c>
      <c r="AS206" s="468" t="str">
        <f>IF(OR(P206="処遇加算Ⅰ",P206="処遇加算Ⅱ"),IF(OR(AH206="○",AH206="令和６年度中に満たす"),"入力済","未入力"),"")</f>
        <v/>
      </c>
      <c r="AT206" s="469" t="str">
        <f>IF(P206="処遇加算Ⅲ",IF(AI206="○","入力済","未入力"),"")</f>
        <v/>
      </c>
      <c r="AU206" s="467" t="str">
        <f>IF(P206="処遇加算Ⅰ",IF(OR(AJ206="○",AJ206="令和６年度中に満たす"),"入力済","未入力"),"")</f>
        <v/>
      </c>
      <c r="AV206" s="467" t="str">
        <f t="shared" ref="AV206" si="613">IF(OR(P207="特定加算Ⅰ",P207="特定加算Ⅱ"),1,"")</f>
        <v/>
      </c>
      <c r="AW206" s="452" t="str">
        <f>IF(P207="特定加算Ⅰ",IF(AL207="","未入力","入力済"),"")</f>
        <v/>
      </c>
      <c r="AX206" s="452" t="str">
        <f>G206</f>
        <v/>
      </c>
    </row>
    <row r="207" spans="1:50" ht="32.1" customHeight="1">
      <c r="A207" s="1267"/>
      <c r="B207" s="1204"/>
      <c r="C207" s="1204"/>
      <c r="D207" s="1204"/>
      <c r="E207" s="1204"/>
      <c r="F207" s="1204"/>
      <c r="G207" s="1207"/>
      <c r="H207" s="1207"/>
      <c r="I207" s="1207"/>
      <c r="J207" s="1207"/>
      <c r="K207" s="1207"/>
      <c r="L207" s="1210"/>
      <c r="M207" s="470" t="s">
        <v>121</v>
      </c>
      <c r="N207" s="76"/>
      <c r="O207" s="471" t="str">
        <f>IFERROR(VLOOKUP(K206,【参考】数式用!$A$5:$J$37,MATCH(N207,【参考】数式用!$B$4:$J$4,0)+1,0),"")</f>
        <v/>
      </c>
      <c r="P207" s="76"/>
      <c r="Q207" s="471" t="str">
        <f>IFERROR(VLOOKUP(K206,【参考】数式用!$A$5:$J$37,MATCH(P207,【参考】数式用!$B$4:$J$4,0)+1,0),"")</f>
        <v/>
      </c>
      <c r="R207" s="96" t="s">
        <v>15</v>
      </c>
      <c r="S207" s="472">
        <v>6</v>
      </c>
      <c r="T207" s="97" t="s">
        <v>10</v>
      </c>
      <c r="U207" s="58">
        <v>4</v>
      </c>
      <c r="V207" s="97" t="s">
        <v>38</v>
      </c>
      <c r="W207" s="472">
        <v>6</v>
      </c>
      <c r="X207" s="97" t="s">
        <v>10</v>
      </c>
      <c r="Y207" s="58">
        <v>5</v>
      </c>
      <c r="Z207" s="97" t="s">
        <v>13</v>
      </c>
      <c r="AA207" s="473" t="s">
        <v>20</v>
      </c>
      <c r="AB207" s="474">
        <f t="shared" si="461"/>
        <v>2</v>
      </c>
      <c r="AC207" s="97" t="s">
        <v>33</v>
      </c>
      <c r="AD207" s="475" t="str">
        <f t="shared" ref="AD207" si="614">IFERROR(ROUNDDOWN(ROUND(L206*Q207,0),0)*AB207,"")</f>
        <v/>
      </c>
      <c r="AE207" s="476" t="str">
        <f t="shared" si="501"/>
        <v/>
      </c>
      <c r="AF207" s="477"/>
      <c r="AG207" s="362"/>
      <c r="AH207" s="363"/>
      <c r="AI207" s="364"/>
      <c r="AJ207" s="365"/>
      <c r="AK207" s="366"/>
      <c r="AL207" s="367"/>
      <c r="AM207" s="478"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79"/>
      <c r="AO207" s="466" t="str">
        <f>IF(K206&lt;&gt;"","P列・R列に色付け","")</f>
        <v/>
      </c>
      <c r="AX207" s="452" t="str">
        <f>G206</f>
        <v/>
      </c>
    </row>
    <row r="208" spans="1:50" ht="32.1" customHeight="1" thickBot="1">
      <c r="A208" s="1268"/>
      <c r="B208" s="1205"/>
      <c r="C208" s="1205"/>
      <c r="D208" s="1205"/>
      <c r="E208" s="1205"/>
      <c r="F208" s="1205"/>
      <c r="G208" s="1208"/>
      <c r="H208" s="1208"/>
      <c r="I208" s="1208"/>
      <c r="J208" s="1208"/>
      <c r="K208" s="1208"/>
      <c r="L208" s="1211"/>
      <c r="M208" s="480" t="s">
        <v>114</v>
      </c>
      <c r="N208" s="79"/>
      <c r="O208" s="481" t="str">
        <f>IFERROR(VLOOKUP(K206,【参考】数式用!$A$5:$J$37,MATCH(N208,【参考】数式用!$B$4:$J$4,0)+1,0),"")</f>
        <v/>
      </c>
      <c r="P208" s="77"/>
      <c r="Q208" s="481" t="str">
        <f>IFERROR(VLOOKUP(K206,【参考】数式用!$A$5:$J$37,MATCH(P208,【参考】数式用!$B$4:$J$4,0)+1,0),"")</f>
        <v/>
      </c>
      <c r="R208" s="482" t="s">
        <v>15</v>
      </c>
      <c r="S208" s="483">
        <v>6</v>
      </c>
      <c r="T208" s="484" t="s">
        <v>10</v>
      </c>
      <c r="U208" s="59">
        <v>4</v>
      </c>
      <c r="V208" s="484" t="s">
        <v>38</v>
      </c>
      <c r="W208" s="483">
        <v>6</v>
      </c>
      <c r="X208" s="484" t="s">
        <v>10</v>
      </c>
      <c r="Y208" s="59">
        <v>5</v>
      </c>
      <c r="Z208" s="484" t="s">
        <v>13</v>
      </c>
      <c r="AA208" s="485" t="s">
        <v>20</v>
      </c>
      <c r="AB208" s="486">
        <f t="shared" si="461"/>
        <v>2</v>
      </c>
      <c r="AC208" s="484" t="s">
        <v>33</v>
      </c>
      <c r="AD208" s="487" t="str">
        <f t="shared" ref="AD208" si="616">IFERROR(ROUNDDOWN(ROUND(L206*Q208,0),0)*AB208,"")</f>
        <v/>
      </c>
      <c r="AE208" s="488" t="str">
        <f t="shared" si="504"/>
        <v/>
      </c>
      <c r="AF208" s="489">
        <f t="shared" si="554"/>
        <v>0</v>
      </c>
      <c r="AG208" s="368"/>
      <c r="AH208" s="369"/>
      <c r="AI208" s="370"/>
      <c r="AJ208" s="371"/>
      <c r="AK208" s="372"/>
      <c r="AL208" s="373"/>
      <c r="AM208" s="490"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1" t="str">
        <f>IF(K206&lt;&gt;"","P列・R列に色付け","")</f>
        <v/>
      </c>
      <c r="AP208" s="492"/>
      <c r="AQ208" s="492"/>
      <c r="AW208" s="493"/>
      <c r="AX208" s="452" t="str">
        <f>G206</f>
        <v/>
      </c>
    </row>
    <row r="209" spans="1:50" ht="32.1" customHeight="1">
      <c r="A209" s="1266">
        <v>66</v>
      </c>
      <c r="B209" s="1203" t="str">
        <f>IF(基本情報入力シート!C119="","",基本情報入力シート!C119)</f>
        <v/>
      </c>
      <c r="C209" s="1203"/>
      <c r="D209" s="1203"/>
      <c r="E209" s="1203"/>
      <c r="F209" s="1203"/>
      <c r="G209" s="1206" t="str">
        <f>IF(基本情報入力シート!M119="","",基本情報入力シート!M119)</f>
        <v/>
      </c>
      <c r="H209" s="1206" t="str">
        <f>IF(基本情報入力シート!R119="","",基本情報入力シート!R119)</f>
        <v/>
      </c>
      <c r="I209" s="1206" t="str">
        <f>IF(基本情報入力シート!W119="","",基本情報入力シート!W119)</f>
        <v/>
      </c>
      <c r="J209" s="1206" t="str">
        <f>IF(基本情報入力シート!X119="","",基本情報入力シート!X119)</f>
        <v/>
      </c>
      <c r="K209" s="1206" t="str">
        <f>IF(基本情報入力シート!Y119="","",基本情報入力シート!Y119)</f>
        <v/>
      </c>
      <c r="L209" s="1209" t="str">
        <f>IF(基本情報入力シート!AB119="","",基本情報入力シート!AB119)</f>
        <v/>
      </c>
      <c r="M209" s="456" t="s">
        <v>132</v>
      </c>
      <c r="N209" s="75"/>
      <c r="O209" s="457" t="str">
        <f>IFERROR(VLOOKUP(K209,【参考】数式用!$A$5:$J$37,MATCH(N209,【参考】数式用!$B$4:$J$4,0)+1,0),"")</f>
        <v/>
      </c>
      <c r="P209" s="75"/>
      <c r="Q209" s="457" t="str">
        <f>IFERROR(VLOOKUP(K209,【参考】数式用!$A$5:$J$37,MATCH(P209,【参考】数式用!$B$4:$J$4,0)+1,0),"")</f>
        <v/>
      </c>
      <c r="R209" s="458" t="s">
        <v>15</v>
      </c>
      <c r="S209" s="459">
        <v>6</v>
      </c>
      <c r="T209" s="125" t="s">
        <v>10</v>
      </c>
      <c r="U209" s="39">
        <v>4</v>
      </c>
      <c r="V209" s="125" t="s">
        <v>38</v>
      </c>
      <c r="W209" s="459">
        <v>6</v>
      </c>
      <c r="X209" s="125" t="s">
        <v>10</v>
      </c>
      <c r="Y209" s="39">
        <v>5</v>
      </c>
      <c r="Z209" s="125" t="s">
        <v>13</v>
      </c>
      <c r="AA209" s="460" t="s">
        <v>20</v>
      </c>
      <c r="AB209" s="461">
        <f t="shared" si="461"/>
        <v>2</v>
      </c>
      <c r="AC209" s="125" t="s">
        <v>33</v>
      </c>
      <c r="AD209" s="462" t="str">
        <f t="shared" ref="AD209" si="618">IFERROR(ROUNDDOWN(ROUND(L209*Q209,0),0)*AB209,"")</f>
        <v/>
      </c>
      <c r="AE209" s="463" t="str">
        <f t="shared" si="507"/>
        <v/>
      </c>
      <c r="AF209" s="464"/>
      <c r="AG209" s="374"/>
      <c r="AH209" s="382"/>
      <c r="AI209" s="379"/>
      <c r="AJ209" s="380"/>
      <c r="AK209" s="360"/>
      <c r="AL209" s="361"/>
      <c r="AM209" s="465" t="str">
        <f t="shared" ref="AM209" si="619">IF(AO209="","",IF(Q209&lt;O209,"！加算の要件上は問題ありませんが、令和６年３月と比較して４・５月に加算率が下がる計画になっています。",""))</f>
        <v/>
      </c>
      <c r="AO209" s="466" t="str">
        <f>IF(K209&lt;&gt;"","P列・R列に色付け","")</f>
        <v/>
      </c>
      <c r="AP209" s="467" t="str">
        <f>IFERROR(VLOOKUP(K209,【参考】数式用!$AH$2:$AI$34,2,FALSE),"")</f>
        <v/>
      </c>
      <c r="AQ209" s="469" t="str">
        <f>P209&amp;P210&amp;P211</f>
        <v/>
      </c>
      <c r="AR209" s="467" t="str">
        <f t="shared" ref="AR209" si="620">IF(AF211&lt;&gt;0,IF(AG211="○","入力済","未入力"),"")</f>
        <v/>
      </c>
      <c r="AS209" s="468" t="str">
        <f>IF(OR(P209="処遇加算Ⅰ",P209="処遇加算Ⅱ"),IF(OR(AH209="○",AH209="令和６年度中に満たす"),"入力済","未入力"),"")</f>
        <v/>
      </c>
      <c r="AT209" s="469" t="str">
        <f>IF(P209="処遇加算Ⅲ",IF(AI209="○","入力済","未入力"),"")</f>
        <v/>
      </c>
      <c r="AU209" s="467" t="str">
        <f>IF(P209="処遇加算Ⅰ",IF(OR(AJ209="○",AJ209="令和６年度中に満たす"),"入力済","未入力"),"")</f>
        <v/>
      </c>
      <c r="AV209" s="467" t="str">
        <f t="shared" ref="AV209" si="621">IF(OR(P210="特定加算Ⅰ",P210="特定加算Ⅱ"),1,"")</f>
        <v/>
      </c>
      <c r="AW209" s="452" t="str">
        <f>IF(P210="特定加算Ⅰ",IF(AL210="","未入力","入力済"),"")</f>
        <v/>
      </c>
      <c r="AX209" s="452" t="str">
        <f>G209</f>
        <v/>
      </c>
    </row>
    <row r="210" spans="1:50" ht="32.1" customHeight="1">
      <c r="A210" s="1267"/>
      <c r="B210" s="1204"/>
      <c r="C210" s="1204"/>
      <c r="D210" s="1204"/>
      <c r="E210" s="1204"/>
      <c r="F210" s="1204"/>
      <c r="G210" s="1207"/>
      <c r="H210" s="1207"/>
      <c r="I210" s="1207"/>
      <c r="J210" s="1207"/>
      <c r="K210" s="1207"/>
      <c r="L210" s="1210"/>
      <c r="M210" s="470" t="s">
        <v>121</v>
      </c>
      <c r="N210" s="76"/>
      <c r="O210" s="471" t="str">
        <f>IFERROR(VLOOKUP(K209,【参考】数式用!$A$5:$J$37,MATCH(N210,【参考】数式用!$B$4:$J$4,0)+1,0),"")</f>
        <v/>
      </c>
      <c r="P210" s="76"/>
      <c r="Q210" s="471" t="str">
        <f>IFERROR(VLOOKUP(K209,【参考】数式用!$A$5:$J$37,MATCH(P210,【参考】数式用!$B$4:$J$4,0)+1,0),"")</f>
        <v/>
      </c>
      <c r="R210" s="96" t="s">
        <v>15</v>
      </c>
      <c r="S210" s="472">
        <v>6</v>
      </c>
      <c r="T210" s="97" t="s">
        <v>10</v>
      </c>
      <c r="U210" s="58">
        <v>4</v>
      </c>
      <c r="V210" s="97" t="s">
        <v>38</v>
      </c>
      <c r="W210" s="472">
        <v>6</v>
      </c>
      <c r="X210" s="97" t="s">
        <v>10</v>
      </c>
      <c r="Y210" s="58">
        <v>5</v>
      </c>
      <c r="Z210" s="97" t="s">
        <v>13</v>
      </c>
      <c r="AA210" s="473" t="s">
        <v>20</v>
      </c>
      <c r="AB210" s="474">
        <f t="shared" si="461"/>
        <v>2</v>
      </c>
      <c r="AC210" s="97" t="s">
        <v>33</v>
      </c>
      <c r="AD210" s="475" t="str">
        <f t="shared" ref="AD210" si="622">IFERROR(ROUNDDOWN(ROUND(L209*Q210,0),0)*AB210,"")</f>
        <v/>
      </c>
      <c r="AE210" s="476" t="str">
        <f t="shared" si="512"/>
        <v/>
      </c>
      <c r="AF210" s="477"/>
      <c r="AG210" s="362"/>
      <c r="AH210" s="363"/>
      <c r="AI210" s="364"/>
      <c r="AJ210" s="365"/>
      <c r="AK210" s="366"/>
      <c r="AL210" s="367"/>
      <c r="AM210" s="478"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79"/>
      <c r="AO210" s="466" t="str">
        <f>IF(K209&lt;&gt;"","P列・R列に色付け","")</f>
        <v/>
      </c>
      <c r="AX210" s="452" t="str">
        <f>G209</f>
        <v/>
      </c>
    </row>
    <row r="211" spans="1:50" ht="32.1" customHeight="1" thickBot="1">
      <c r="A211" s="1268"/>
      <c r="B211" s="1205"/>
      <c r="C211" s="1205"/>
      <c r="D211" s="1205"/>
      <c r="E211" s="1205"/>
      <c r="F211" s="1205"/>
      <c r="G211" s="1208"/>
      <c r="H211" s="1208"/>
      <c r="I211" s="1208"/>
      <c r="J211" s="1208"/>
      <c r="K211" s="1208"/>
      <c r="L211" s="1211"/>
      <c r="M211" s="480" t="s">
        <v>114</v>
      </c>
      <c r="N211" s="79"/>
      <c r="O211" s="481" t="str">
        <f>IFERROR(VLOOKUP(K209,【参考】数式用!$A$5:$J$37,MATCH(N211,【参考】数式用!$B$4:$J$4,0)+1,0),"")</f>
        <v/>
      </c>
      <c r="P211" s="77"/>
      <c r="Q211" s="481" t="str">
        <f>IFERROR(VLOOKUP(K209,【参考】数式用!$A$5:$J$37,MATCH(P211,【参考】数式用!$B$4:$J$4,0)+1,0),"")</f>
        <v/>
      </c>
      <c r="R211" s="482" t="s">
        <v>15</v>
      </c>
      <c r="S211" s="483">
        <v>6</v>
      </c>
      <c r="T211" s="484" t="s">
        <v>10</v>
      </c>
      <c r="U211" s="59">
        <v>4</v>
      </c>
      <c r="V211" s="484" t="s">
        <v>38</v>
      </c>
      <c r="W211" s="483">
        <v>6</v>
      </c>
      <c r="X211" s="484" t="s">
        <v>10</v>
      </c>
      <c r="Y211" s="59">
        <v>5</v>
      </c>
      <c r="Z211" s="484" t="s">
        <v>13</v>
      </c>
      <c r="AA211" s="485" t="s">
        <v>20</v>
      </c>
      <c r="AB211" s="486">
        <f t="shared" si="461"/>
        <v>2</v>
      </c>
      <c r="AC211" s="484" t="s">
        <v>33</v>
      </c>
      <c r="AD211" s="487" t="str">
        <f t="shared" ref="AD211" si="624">IFERROR(ROUNDDOWN(ROUND(L209*Q211,0),0)*AB211,"")</f>
        <v/>
      </c>
      <c r="AE211" s="488" t="str">
        <f t="shared" si="515"/>
        <v/>
      </c>
      <c r="AF211" s="489">
        <f t="shared" si="554"/>
        <v>0</v>
      </c>
      <c r="AG211" s="368"/>
      <c r="AH211" s="369"/>
      <c r="AI211" s="370"/>
      <c r="AJ211" s="371"/>
      <c r="AK211" s="372"/>
      <c r="AL211" s="373"/>
      <c r="AM211" s="490"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1" t="str">
        <f>IF(K209&lt;&gt;"","P列・R列に色付け","")</f>
        <v/>
      </c>
      <c r="AP211" s="492"/>
      <c r="AQ211" s="492"/>
      <c r="AW211" s="493"/>
      <c r="AX211" s="452" t="str">
        <f>G209</f>
        <v/>
      </c>
    </row>
    <row r="212" spans="1:50" ht="32.1" customHeight="1">
      <c r="A212" s="1266">
        <v>67</v>
      </c>
      <c r="B212" s="1203" t="str">
        <f>IF(基本情報入力シート!C120="","",基本情報入力シート!C120)</f>
        <v/>
      </c>
      <c r="C212" s="1203"/>
      <c r="D212" s="1203"/>
      <c r="E212" s="1203"/>
      <c r="F212" s="1203"/>
      <c r="G212" s="1206" t="str">
        <f>IF(基本情報入力シート!M120="","",基本情報入力シート!M120)</f>
        <v/>
      </c>
      <c r="H212" s="1206" t="str">
        <f>IF(基本情報入力シート!R120="","",基本情報入力シート!R120)</f>
        <v/>
      </c>
      <c r="I212" s="1206" t="str">
        <f>IF(基本情報入力シート!W120="","",基本情報入力シート!W120)</f>
        <v/>
      </c>
      <c r="J212" s="1206" t="str">
        <f>IF(基本情報入力シート!X120="","",基本情報入力シート!X120)</f>
        <v/>
      </c>
      <c r="K212" s="1206" t="str">
        <f>IF(基本情報入力シート!Y120="","",基本情報入力シート!Y120)</f>
        <v/>
      </c>
      <c r="L212" s="1209" t="str">
        <f>IF(基本情報入力シート!AB120="","",基本情報入力シート!AB120)</f>
        <v/>
      </c>
      <c r="M212" s="456" t="s">
        <v>132</v>
      </c>
      <c r="N212" s="75"/>
      <c r="O212" s="457" t="str">
        <f>IFERROR(VLOOKUP(K212,【参考】数式用!$A$5:$J$37,MATCH(N212,【参考】数式用!$B$4:$J$4,0)+1,0),"")</f>
        <v/>
      </c>
      <c r="P212" s="75"/>
      <c r="Q212" s="457" t="str">
        <f>IFERROR(VLOOKUP(K212,【参考】数式用!$A$5:$J$37,MATCH(P212,【参考】数式用!$B$4:$J$4,0)+1,0),"")</f>
        <v/>
      </c>
      <c r="R212" s="458" t="s">
        <v>15</v>
      </c>
      <c r="S212" s="459">
        <v>6</v>
      </c>
      <c r="T212" s="125" t="s">
        <v>10</v>
      </c>
      <c r="U212" s="39">
        <v>4</v>
      </c>
      <c r="V212" s="125" t="s">
        <v>38</v>
      </c>
      <c r="W212" s="459">
        <v>6</v>
      </c>
      <c r="X212" s="125" t="s">
        <v>10</v>
      </c>
      <c r="Y212" s="39">
        <v>5</v>
      </c>
      <c r="Z212" s="125" t="s">
        <v>13</v>
      </c>
      <c r="AA212" s="460" t="s">
        <v>20</v>
      </c>
      <c r="AB212" s="461">
        <f t="shared" si="461"/>
        <v>2</v>
      </c>
      <c r="AC212" s="125" t="s">
        <v>33</v>
      </c>
      <c r="AD212" s="462" t="str">
        <f t="shared" ref="AD212" si="626">IFERROR(ROUNDDOWN(ROUND(L212*Q212,0),0)*AB212,"")</f>
        <v/>
      </c>
      <c r="AE212" s="463" t="str">
        <f t="shared" ref="AE212" si="627">IFERROR(ROUNDDOWN(ROUND(L212*(Q212-O212),0),0)*AB212,"")</f>
        <v/>
      </c>
      <c r="AF212" s="464"/>
      <c r="AG212" s="374"/>
      <c r="AH212" s="382"/>
      <c r="AI212" s="379"/>
      <c r="AJ212" s="380"/>
      <c r="AK212" s="360"/>
      <c r="AL212" s="361"/>
      <c r="AM212" s="465" t="str">
        <f t="shared" ref="AM212" si="628">IF(AO212="","",IF(Q212&lt;O212,"！加算の要件上は問題ありませんが、令和６年３月と比較して４・５月に加算率が下がる計画になっています。",""))</f>
        <v/>
      </c>
      <c r="AO212" s="466" t="str">
        <f>IF(K212&lt;&gt;"","P列・R列に色付け","")</f>
        <v/>
      </c>
      <c r="AP212" s="467" t="str">
        <f>IFERROR(VLOOKUP(K212,【参考】数式用!$AH$2:$AI$34,2,FALSE),"")</f>
        <v/>
      </c>
      <c r="AQ212" s="469" t="str">
        <f>P212&amp;P213&amp;P214</f>
        <v/>
      </c>
      <c r="AR212" s="467" t="str">
        <f t="shared" ref="AR212" si="629">IF(AF214&lt;&gt;0,IF(AG214="○","入力済","未入力"),"")</f>
        <v/>
      </c>
      <c r="AS212" s="468" t="str">
        <f>IF(OR(P212="処遇加算Ⅰ",P212="処遇加算Ⅱ"),IF(OR(AH212="○",AH212="令和６年度中に満たす"),"入力済","未入力"),"")</f>
        <v/>
      </c>
      <c r="AT212" s="469" t="str">
        <f>IF(P212="処遇加算Ⅲ",IF(AI212="○","入力済","未入力"),"")</f>
        <v/>
      </c>
      <c r="AU212" s="467" t="str">
        <f>IF(P212="処遇加算Ⅰ",IF(OR(AJ212="○",AJ212="令和６年度中に満たす"),"入力済","未入力"),"")</f>
        <v/>
      </c>
      <c r="AV212" s="467" t="str">
        <f t="shared" ref="AV212" si="630">IF(OR(P213="特定加算Ⅰ",P213="特定加算Ⅱ"),1,"")</f>
        <v/>
      </c>
      <c r="AW212" s="452" t="str">
        <f>IF(P213="特定加算Ⅰ",IF(AL213="","未入力","入力済"),"")</f>
        <v/>
      </c>
      <c r="AX212" s="452" t="str">
        <f>G212</f>
        <v/>
      </c>
    </row>
    <row r="213" spans="1:50" ht="32.1" customHeight="1">
      <c r="A213" s="1267"/>
      <c r="B213" s="1204"/>
      <c r="C213" s="1204"/>
      <c r="D213" s="1204"/>
      <c r="E213" s="1204"/>
      <c r="F213" s="1204"/>
      <c r="G213" s="1207"/>
      <c r="H213" s="1207"/>
      <c r="I213" s="1207"/>
      <c r="J213" s="1207"/>
      <c r="K213" s="1207"/>
      <c r="L213" s="1210"/>
      <c r="M213" s="470" t="s">
        <v>121</v>
      </c>
      <c r="N213" s="76"/>
      <c r="O213" s="471" t="str">
        <f>IFERROR(VLOOKUP(K212,【参考】数式用!$A$5:$J$37,MATCH(N213,【参考】数式用!$B$4:$J$4,0)+1,0),"")</f>
        <v/>
      </c>
      <c r="P213" s="76"/>
      <c r="Q213" s="471" t="str">
        <f>IFERROR(VLOOKUP(K212,【参考】数式用!$A$5:$J$37,MATCH(P213,【参考】数式用!$B$4:$J$4,0)+1,0),"")</f>
        <v/>
      </c>
      <c r="R213" s="96" t="s">
        <v>15</v>
      </c>
      <c r="S213" s="472">
        <v>6</v>
      </c>
      <c r="T213" s="97" t="s">
        <v>10</v>
      </c>
      <c r="U213" s="58">
        <v>4</v>
      </c>
      <c r="V213" s="97" t="s">
        <v>38</v>
      </c>
      <c r="W213" s="472">
        <v>6</v>
      </c>
      <c r="X213" s="97" t="s">
        <v>10</v>
      </c>
      <c r="Y213" s="58">
        <v>5</v>
      </c>
      <c r="Z213" s="97" t="s">
        <v>13</v>
      </c>
      <c r="AA213" s="473" t="s">
        <v>20</v>
      </c>
      <c r="AB213" s="474">
        <f t="shared" si="461"/>
        <v>2</v>
      </c>
      <c r="AC213" s="97" t="s">
        <v>33</v>
      </c>
      <c r="AD213" s="475" t="str">
        <f t="shared" ref="AD213" si="631">IFERROR(ROUNDDOWN(ROUND(L212*Q213,0),0)*AB213,"")</f>
        <v/>
      </c>
      <c r="AE213" s="476" t="str">
        <f t="shared" ref="AE213" si="632">IFERROR(ROUNDDOWN(ROUND(L212*(Q213-O213),0),0)*AB213,"")</f>
        <v/>
      </c>
      <c r="AF213" s="477"/>
      <c r="AG213" s="362"/>
      <c r="AH213" s="363"/>
      <c r="AI213" s="364"/>
      <c r="AJ213" s="365"/>
      <c r="AK213" s="366"/>
      <c r="AL213" s="367"/>
      <c r="AM213" s="478"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79"/>
      <c r="AO213" s="466" t="str">
        <f>IF(K212&lt;&gt;"","P列・R列に色付け","")</f>
        <v/>
      </c>
      <c r="AX213" s="452" t="str">
        <f>G212</f>
        <v/>
      </c>
    </row>
    <row r="214" spans="1:50" ht="32.1" customHeight="1" thickBot="1">
      <c r="A214" s="1268"/>
      <c r="B214" s="1205"/>
      <c r="C214" s="1205"/>
      <c r="D214" s="1205"/>
      <c r="E214" s="1205"/>
      <c r="F214" s="1205"/>
      <c r="G214" s="1208"/>
      <c r="H214" s="1208"/>
      <c r="I214" s="1208"/>
      <c r="J214" s="1208"/>
      <c r="K214" s="1208"/>
      <c r="L214" s="1211"/>
      <c r="M214" s="480" t="s">
        <v>114</v>
      </c>
      <c r="N214" s="79"/>
      <c r="O214" s="481" t="str">
        <f>IFERROR(VLOOKUP(K212,【参考】数式用!$A$5:$J$37,MATCH(N214,【参考】数式用!$B$4:$J$4,0)+1,0),"")</f>
        <v/>
      </c>
      <c r="P214" s="77"/>
      <c r="Q214" s="481" t="str">
        <f>IFERROR(VLOOKUP(K212,【参考】数式用!$A$5:$J$37,MATCH(P214,【参考】数式用!$B$4:$J$4,0)+1,0),"")</f>
        <v/>
      </c>
      <c r="R214" s="482" t="s">
        <v>15</v>
      </c>
      <c r="S214" s="483">
        <v>6</v>
      </c>
      <c r="T214" s="484" t="s">
        <v>10</v>
      </c>
      <c r="U214" s="59">
        <v>4</v>
      </c>
      <c r="V214" s="484" t="s">
        <v>38</v>
      </c>
      <c r="W214" s="483">
        <v>6</v>
      </c>
      <c r="X214" s="484" t="s">
        <v>10</v>
      </c>
      <c r="Y214" s="59">
        <v>5</v>
      </c>
      <c r="Z214" s="484" t="s">
        <v>13</v>
      </c>
      <c r="AA214" s="485" t="s">
        <v>20</v>
      </c>
      <c r="AB214" s="486">
        <f t="shared" si="461"/>
        <v>2</v>
      </c>
      <c r="AC214" s="484" t="s">
        <v>33</v>
      </c>
      <c r="AD214" s="487" t="str">
        <f t="shared" ref="AD214" si="634">IFERROR(ROUNDDOWN(ROUND(L212*Q214,0),0)*AB214,"")</f>
        <v/>
      </c>
      <c r="AE214" s="488" t="str">
        <f t="shared" ref="AE214" si="635">IFERROR(ROUNDDOWN(ROUND(L212*(Q214-O214),0),0)*AB214,"")</f>
        <v/>
      </c>
      <c r="AF214" s="489">
        <f t="shared" si="554"/>
        <v>0</v>
      </c>
      <c r="AG214" s="368"/>
      <c r="AH214" s="369"/>
      <c r="AI214" s="370"/>
      <c r="AJ214" s="371"/>
      <c r="AK214" s="372"/>
      <c r="AL214" s="373"/>
      <c r="AM214" s="490"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1" t="str">
        <f>IF(K212&lt;&gt;"","P列・R列に色付け","")</f>
        <v/>
      </c>
      <c r="AP214" s="492"/>
      <c r="AQ214" s="492"/>
      <c r="AW214" s="493"/>
      <c r="AX214" s="452" t="str">
        <f>G212</f>
        <v/>
      </c>
    </row>
    <row r="215" spans="1:50" ht="32.1" customHeight="1">
      <c r="A215" s="1266">
        <v>68</v>
      </c>
      <c r="B215" s="1203" t="str">
        <f>IF(基本情報入力シート!C121="","",基本情報入力シート!C121)</f>
        <v/>
      </c>
      <c r="C215" s="1203"/>
      <c r="D215" s="1203"/>
      <c r="E215" s="1203"/>
      <c r="F215" s="1203"/>
      <c r="G215" s="1206" t="str">
        <f>IF(基本情報入力シート!M121="","",基本情報入力シート!M121)</f>
        <v/>
      </c>
      <c r="H215" s="1206" t="str">
        <f>IF(基本情報入力シート!R121="","",基本情報入力シート!R121)</f>
        <v/>
      </c>
      <c r="I215" s="1206" t="str">
        <f>IF(基本情報入力シート!W121="","",基本情報入力シート!W121)</f>
        <v/>
      </c>
      <c r="J215" s="1206" t="str">
        <f>IF(基本情報入力シート!X121="","",基本情報入力シート!X121)</f>
        <v/>
      </c>
      <c r="K215" s="1206" t="str">
        <f>IF(基本情報入力シート!Y121="","",基本情報入力シート!Y121)</f>
        <v/>
      </c>
      <c r="L215" s="1209" t="str">
        <f>IF(基本情報入力シート!AB121="","",基本情報入力シート!AB121)</f>
        <v/>
      </c>
      <c r="M215" s="456" t="s">
        <v>132</v>
      </c>
      <c r="N215" s="75"/>
      <c r="O215" s="457" t="str">
        <f>IFERROR(VLOOKUP(K215,【参考】数式用!$A$5:$J$37,MATCH(N215,【参考】数式用!$B$4:$J$4,0)+1,0),"")</f>
        <v/>
      </c>
      <c r="P215" s="75"/>
      <c r="Q215" s="457" t="str">
        <f>IFERROR(VLOOKUP(K215,【参考】数式用!$A$5:$J$37,MATCH(P215,【参考】数式用!$B$4:$J$4,0)+1,0),"")</f>
        <v/>
      </c>
      <c r="R215" s="458" t="s">
        <v>15</v>
      </c>
      <c r="S215" s="459">
        <v>6</v>
      </c>
      <c r="T215" s="125" t="s">
        <v>10</v>
      </c>
      <c r="U215" s="39">
        <v>4</v>
      </c>
      <c r="V215" s="125" t="s">
        <v>38</v>
      </c>
      <c r="W215" s="459">
        <v>6</v>
      </c>
      <c r="X215" s="125" t="s">
        <v>10</v>
      </c>
      <c r="Y215" s="39">
        <v>5</v>
      </c>
      <c r="Z215" s="125" t="s">
        <v>13</v>
      </c>
      <c r="AA215" s="460" t="s">
        <v>20</v>
      </c>
      <c r="AB215" s="461">
        <f t="shared" si="461"/>
        <v>2</v>
      </c>
      <c r="AC215" s="125" t="s">
        <v>33</v>
      </c>
      <c r="AD215" s="462" t="str">
        <f t="shared" ref="AD215" si="637">IFERROR(ROUNDDOWN(ROUND(L215*Q215,0),0)*AB215,"")</f>
        <v/>
      </c>
      <c r="AE215" s="463" t="str">
        <f t="shared" si="496"/>
        <v/>
      </c>
      <c r="AF215" s="464"/>
      <c r="AG215" s="374"/>
      <c r="AH215" s="382"/>
      <c r="AI215" s="379"/>
      <c r="AJ215" s="380"/>
      <c r="AK215" s="360"/>
      <c r="AL215" s="361"/>
      <c r="AM215" s="465" t="str">
        <f t="shared" ref="AM215" si="638">IF(AO215="","",IF(Q215&lt;O215,"！加算の要件上は問題ありませんが、令和６年３月と比較して４・５月に加算率が下がる計画になっています。",""))</f>
        <v/>
      </c>
      <c r="AO215" s="466" t="str">
        <f>IF(K215&lt;&gt;"","P列・R列に色付け","")</f>
        <v/>
      </c>
      <c r="AP215" s="467" t="str">
        <f>IFERROR(VLOOKUP(K215,【参考】数式用!$AH$2:$AI$34,2,FALSE),"")</f>
        <v/>
      </c>
      <c r="AQ215" s="469" t="str">
        <f>P215&amp;P216&amp;P217</f>
        <v/>
      </c>
      <c r="AR215" s="467" t="str">
        <f t="shared" ref="AR215" si="639">IF(AF217&lt;&gt;0,IF(AG217="○","入力済","未入力"),"")</f>
        <v/>
      </c>
      <c r="AS215" s="468" t="str">
        <f>IF(OR(P215="処遇加算Ⅰ",P215="処遇加算Ⅱ"),IF(OR(AH215="○",AH215="令和６年度中に満たす"),"入力済","未入力"),"")</f>
        <v/>
      </c>
      <c r="AT215" s="469" t="str">
        <f>IF(P215="処遇加算Ⅲ",IF(AI215="○","入力済","未入力"),"")</f>
        <v/>
      </c>
      <c r="AU215" s="467" t="str">
        <f>IF(P215="処遇加算Ⅰ",IF(OR(AJ215="○",AJ215="令和６年度中に満たす"),"入力済","未入力"),"")</f>
        <v/>
      </c>
      <c r="AV215" s="467" t="str">
        <f t="shared" ref="AV215" si="640">IF(OR(P216="特定加算Ⅰ",P216="特定加算Ⅱ"),1,"")</f>
        <v/>
      </c>
      <c r="AW215" s="452" t="str">
        <f>IF(P216="特定加算Ⅰ",IF(AL216="","未入力","入力済"),"")</f>
        <v/>
      </c>
      <c r="AX215" s="452" t="str">
        <f>G215</f>
        <v/>
      </c>
    </row>
    <row r="216" spans="1:50" ht="32.1" customHeight="1">
      <c r="A216" s="1267"/>
      <c r="B216" s="1204"/>
      <c r="C216" s="1204"/>
      <c r="D216" s="1204"/>
      <c r="E216" s="1204"/>
      <c r="F216" s="1204"/>
      <c r="G216" s="1207"/>
      <c r="H216" s="1207"/>
      <c r="I216" s="1207"/>
      <c r="J216" s="1207"/>
      <c r="K216" s="1207"/>
      <c r="L216" s="1210"/>
      <c r="M216" s="470" t="s">
        <v>121</v>
      </c>
      <c r="N216" s="76"/>
      <c r="O216" s="471" t="str">
        <f>IFERROR(VLOOKUP(K215,【参考】数式用!$A$5:$J$37,MATCH(N216,【参考】数式用!$B$4:$J$4,0)+1,0),"")</f>
        <v/>
      </c>
      <c r="P216" s="76"/>
      <c r="Q216" s="471" t="str">
        <f>IFERROR(VLOOKUP(K215,【参考】数式用!$A$5:$J$37,MATCH(P216,【参考】数式用!$B$4:$J$4,0)+1,0),"")</f>
        <v/>
      </c>
      <c r="R216" s="96" t="s">
        <v>15</v>
      </c>
      <c r="S216" s="472">
        <v>6</v>
      </c>
      <c r="T216" s="97" t="s">
        <v>10</v>
      </c>
      <c r="U216" s="58">
        <v>4</v>
      </c>
      <c r="V216" s="97" t="s">
        <v>38</v>
      </c>
      <c r="W216" s="472">
        <v>6</v>
      </c>
      <c r="X216" s="97" t="s">
        <v>10</v>
      </c>
      <c r="Y216" s="58">
        <v>5</v>
      </c>
      <c r="Z216" s="97" t="s">
        <v>13</v>
      </c>
      <c r="AA216" s="473" t="s">
        <v>20</v>
      </c>
      <c r="AB216" s="474">
        <f t="shared" si="461"/>
        <v>2</v>
      </c>
      <c r="AC216" s="97" t="s">
        <v>33</v>
      </c>
      <c r="AD216" s="475" t="str">
        <f t="shared" ref="AD216" si="641">IFERROR(ROUNDDOWN(ROUND(L215*Q216,0),0)*AB216,"")</f>
        <v/>
      </c>
      <c r="AE216" s="476" t="str">
        <f t="shared" si="501"/>
        <v/>
      </c>
      <c r="AF216" s="477"/>
      <c r="AG216" s="362"/>
      <c r="AH216" s="363"/>
      <c r="AI216" s="364"/>
      <c r="AJ216" s="365"/>
      <c r="AK216" s="366"/>
      <c r="AL216" s="367"/>
      <c r="AM216" s="478"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79"/>
      <c r="AO216" s="466" t="str">
        <f>IF(K215&lt;&gt;"","P列・R列に色付け","")</f>
        <v/>
      </c>
      <c r="AX216" s="452" t="str">
        <f>G215</f>
        <v/>
      </c>
    </row>
    <row r="217" spans="1:50" ht="32.1" customHeight="1" thickBot="1">
      <c r="A217" s="1268"/>
      <c r="B217" s="1205"/>
      <c r="C217" s="1205"/>
      <c r="D217" s="1205"/>
      <c r="E217" s="1205"/>
      <c r="F217" s="1205"/>
      <c r="G217" s="1208"/>
      <c r="H217" s="1208"/>
      <c r="I217" s="1208"/>
      <c r="J217" s="1208"/>
      <c r="K217" s="1208"/>
      <c r="L217" s="1211"/>
      <c r="M217" s="480" t="s">
        <v>114</v>
      </c>
      <c r="N217" s="79"/>
      <c r="O217" s="481" t="str">
        <f>IFERROR(VLOOKUP(K215,【参考】数式用!$A$5:$J$37,MATCH(N217,【参考】数式用!$B$4:$J$4,0)+1,0),"")</f>
        <v/>
      </c>
      <c r="P217" s="77"/>
      <c r="Q217" s="481" t="str">
        <f>IFERROR(VLOOKUP(K215,【参考】数式用!$A$5:$J$37,MATCH(P217,【参考】数式用!$B$4:$J$4,0)+1,0),"")</f>
        <v/>
      </c>
      <c r="R217" s="482" t="s">
        <v>15</v>
      </c>
      <c r="S217" s="483">
        <v>6</v>
      </c>
      <c r="T217" s="484" t="s">
        <v>10</v>
      </c>
      <c r="U217" s="59">
        <v>4</v>
      </c>
      <c r="V217" s="484" t="s">
        <v>38</v>
      </c>
      <c r="W217" s="483">
        <v>6</v>
      </c>
      <c r="X217" s="484" t="s">
        <v>10</v>
      </c>
      <c r="Y217" s="59">
        <v>5</v>
      </c>
      <c r="Z217" s="484" t="s">
        <v>13</v>
      </c>
      <c r="AA217" s="485" t="s">
        <v>20</v>
      </c>
      <c r="AB217" s="486">
        <f t="shared" si="461"/>
        <v>2</v>
      </c>
      <c r="AC217" s="484" t="s">
        <v>33</v>
      </c>
      <c r="AD217" s="487" t="str">
        <f t="shared" ref="AD217" si="643">IFERROR(ROUNDDOWN(ROUND(L215*Q217,0),0)*AB217,"")</f>
        <v/>
      </c>
      <c r="AE217" s="488" t="str">
        <f t="shared" si="504"/>
        <v/>
      </c>
      <c r="AF217" s="489">
        <f t="shared" si="554"/>
        <v>0</v>
      </c>
      <c r="AG217" s="368"/>
      <c r="AH217" s="369"/>
      <c r="AI217" s="370"/>
      <c r="AJ217" s="371"/>
      <c r="AK217" s="372"/>
      <c r="AL217" s="373"/>
      <c r="AM217" s="490"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1" t="str">
        <f>IF(K215&lt;&gt;"","P列・R列に色付け","")</f>
        <v/>
      </c>
      <c r="AP217" s="492"/>
      <c r="AQ217" s="492"/>
      <c r="AW217" s="493"/>
      <c r="AX217" s="452" t="str">
        <f>G215</f>
        <v/>
      </c>
    </row>
    <row r="218" spans="1:50" ht="32.1" customHeight="1">
      <c r="A218" s="1266">
        <v>69</v>
      </c>
      <c r="B218" s="1203" t="str">
        <f>IF(基本情報入力シート!C122="","",基本情報入力シート!C122)</f>
        <v/>
      </c>
      <c r="C218" s="1203"/>
      <c r="D218" s="1203"/>
      <c r="E218" s="1203"/>
      <c r="F218" s="1203"/>
      <c r="G218" s="1206" t="str">
        <f>IF(基本情報入力シート!M122="","",基本情報入力シート!M122)</f>
        <v/>
      </c>
      <c r="H218" s="1206" t="str">
        <f>IF(基本情報入力シート!R122="","",基本情報入力シート!R122)</f>
        <v/>
      </c>
      <c r="I218" s="1206" t="str">
        <f>IF(基本情報入力シート!W122="","",基本情報入力シート!W122)</f>
        <v/>
      </c>
      <c r="J218" s="1206" t="str">
        <f>IF(基本情報入力シート!X122="","",基本情報入力シート!X122)</f>
        <v/>
      </c>
      <c r="K218" s="1206" t="str">
        <f>IF(基本情報入力シート!Y122="","",基本情報入力シート!Y122)</f>
        <v/>
      </c>
      <c r="L218" s="1209" t="str">
        <f>IF(基本情報入力シート!AB122="","",基本情報入力シート!AB122)</f>
        <v/>
      </c>
      <c r="M218" s="456" t="s">
        <v>132</v>
      </c>
      <c r="N218" s="75"/>
      <c r="O218" s="457" t="str">
        <f>IFERROR(VLOOKUP(K218,【参考】数式用!$A$5:$J$37,MATCH(N218,【参考】数式用!$B$4:$J$4,0)+1,0),"")</f>
        <v/>
      </c>
      <c r="P218" s="75"/>
      <c r="Q218" s="457" t="str">
        <f>IFERROR(VLOOKUP(K218,【参考】数式用!$A$5:$J$37,MATCH(P218,【参考】数式用!$B$4:$J$4,0)+1,0),"")</f>
        <v/>
      </c>
      <c r="R218" s="458" t="s">
        <v>15</v>
      </c>
      <c r="S218" s="459">
        <v>6</v>
      </c>
      <c r="T218" s="125" t="s">
        <v>10</v>
      </c>
      <c r="U218" s="39">
        <v>4</v>
      </c>
      <c r="V218" s="125" t="s">
        <v>38</v>
      </c>
      <c r="W218" s="459">
        <v>6</v>
      </c>
      <c r="X218" s="125" t="s">
        <v>10</v>
      </c>
      <c r="Y218" s="39">
        <v>5</v>
      </c>
      <c r="Z218" s="125" t="s">
        <v>13</v>
      </c>
      <c r="AA218" s="460" t="s">
        <v>20</v>
      </c>
      <c r="AB218" s="461">
        <f t="shared" si="461"/>
        <v>2</v>
      </c>
      <c r="AC218" s="125" t="s">
        <v>33</v>
      </c>
      <c r="AD218" s="462" t="str">
        <f t="shared" ref="AD218" si="645">IFERROR(ROUNDDOWN(ROUND(L218*Q218,0),0)*AB218,"")</f>
        <v/>
      </c>
      <c r="AE218" s="463" t="str">
        <f t="shared" si="507"/>
        <v/>
      </c>
      <c r="AF218" s="464"/>
      <c r="AG218" s="374"/>
      <c r="AH218" s="382"/>
      <c r="AI218" s="379"/>
      <c r="AJ218" s="380"/>
      <c r="AK218" s="360"/>
      <c r="AL218" s="361"/>
      <c r="AM218" s="465" t="str">
        <f t="shared" ref="AM218" si="646">IF(AO218="","",IF(Q218&lt;O218,"！加算の要件上は問題ありませんが、令和６年３月と比較して４・５月に加算率が下がる計画になっています。",""))</f>
        <v/>
      </c>
      <c r="AO218" s="466" t="str">
        <f>IF(K218&lt;&gt;"","P列・R列に色付け","")</f>
        <v/>
      </c>
      <c r="AP218" s="467" t="str">
        <f>IFERROR(VLOOKUP(K218,【参考】数式用!$AH$2:$AI$34,2,FALSE),"")</f>
        <v/>
      </c>
      <c r="AQ218" s="469" t="str">
        <f>P218&amp;P219&amp;P220</f>
        <v/>
      </c>
      <c r="AR218" s="467" t="str">
        <f t="shared" ref="AR218" si="647">IF(AF220&lt;&gt;0,IF(AG220="○","入力済","未入力"),"")</f>
        <v/>
      </c>
      <c r="AS218" s="468" t="str">
        <f>IF(OR(P218="処遇加算Ⅰ",P218="処遇加算Ⅱ"),IF(OR(AH218="○",AH218="令和６年度中に満たす"),"入力済","未入力"),"")</f>
        <v/>
      </c>
      <c r="AT218" s="469" t="str">
        <f>IF(P218="処遇加算Ⅲ",IF(AI218="○","入力済","未入力"),"")</f>
        <v/>
      </c>
      <c r="AU218" s="467" t="str">
        <f>IF(P218="処遇加算Ⅰ",IF(OR(AJ218="○",AJ218="令和６年度中に満たす"),"入力済","未入力"),"")</f>
        <v/>
      </c>
      <c r="AV218" s="467" t="str">
        <f t="shared" ref="AV218" si="648">IF(OR(P219="特定加算Ⅰ",P219="特定加算Ⅱ"),1,"")</f>
        <v/>
      </c>
      <c r="AW218" s="452" t="str">
        <f>IF(P219="特定加算Ⅰ",IF(AL219="","未入力","入力済"),"")</f>
        <v/>
      </c>
      <c r="AX218" s="452" t="str">
        <f>G218</f>
        <v/>
      </c>
    </row>
    <row r="219" spans="1:50" ht="32.1" customHeight="1">
      <c r="A219" s="1267"/>
      <c r="B219" s="1204"/>
      <c r="C219" s="1204"/>
      <c r="D219" s="1204"/>
      <c r="E219" s="1204"/>
      <c r="F219" s="1204"/>
      <c r="G219" s="1207"/>
      <c r="H219" s="1207"/>
      <c r="I219" s="1207"/>
      <c r="J219" s="1207"/>
      <c r="K219" s="1207"/>
      <c r="L219" s="1210"/>
      <c r="M219" s="470" t="s">
        <v>121</v>
      </c>
      <c r="N219" s="76"/>
      <c r="O219" s="471" t="str">
        <f>IFERROR(VLOOKUP(K218,【参考】数式用!$A$5:$J$37,MATCH(N219,【参考】数式用!$B$4:$J$4,0)+1,0),"")</f>
        <v/>
      </c>
      <c r="P219" s="76"/>
      <c r="Q219" s="471" t="str">
        <f>IFERROR(VLOOKUP(K218,【参考】数式用!$A$5:$J$37,MATCH(P219,【参考】数式用!$B$4:$J$4,0)+1,0),"")</f>
        <v/>
      </c>
      <c r="R219" s="96" t="s">
        <v>15</v>
      </c>
      <c r="S219" s="472">
        <v>6</v>
      </c>
      <c r="T219" s="97" t="s">
        <v>10</v>
      </c>
      <c r="U219" s="58">
        <v>4</v>
      </c>
      <c r="V219" s="97" t="s">
        <v>38</v>
      </c>
      <c r="W219" s="472">
        <v>6</v>
      </c>
      <c r="X219" s="97" t="s">
        <v>10</v>
      </c>
      <c r="Y219" s="58">
        <v>5</v>
      </c>
      <c r="Z219" s="97" t="s">
        <v>13</v>
      </c>
      <c r="AA219" s="473" t="s">
        <v>20</v>
      </c>
      <c r="AB219" s="474">
        <f t="shared" si="461"/>
        <v>2</v>
      </c>
      <c r="AC219" s="97" t="s">
        <v>33</v>
      </c>
      <c r="AD219" s="475" t="str">
        <f t="shared" ref="AD219" si="649">IFERROR(ROUNDDOWN(ROUND(L218*Q219,0),0)*AB219,"")</f>
        <v/>
      </c>
      <c r="AE219" s="476" t="str">
        <f t="shared" si="512"/>
        <v/>
      </c>
      <c r="AF219" s="477"/>
      <c r="AG219" s="362"/>
      <c r="AH219" s="363"/>
      <c r="AI219" s="364"/>
      <c r="AJ219" s="365"/>
      <c r="AK219" s="366"/>
      <c r="AL219" s="367"/>
      <c r="AM219" s="478"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79"/>
      <c r="AO219" s="466" t="str">
        <f>IF(K218&lt;&gt;"","P列・R列に色付け","")</f>
        <v/>
      </c>
      <c r="AX219" s="452" t="str">
        <f>G218</f>
        <v/>
      </c>
    </row>
    <row r="220" spans="1:50" ht="32.1" customHeight="1" thickBot="1">
      <c r="A220" s="1268"/>
      <c r="B220" s="1205"/>
      <c r="C220" s="1205"/>
      <c r="D220" s="1205"/>
      <c r="E220" s="1205"/>
      <c r="F220" s="1205"/>
      <c r="G220" s="1208"/>
      <c r="H220" s="1208"/>
      <c r="I220" s="1208"/>
      <c r="J220" s="1208"/>
      <c r="K220" s="1208"/>
      <c r="L220" s="1211"/>
      <c r="M220" s="480" t="s">
        <v>114</v>
      </c>
      <c r="N220" s="79"/>
      <c r="O220" s="481" t="str">
        <f>IFERROR(VLOOKUP(K218,【参考】数式用!$A$5:$J$37,MATCH(N220,【参考】数式用!$B$4:$J$4,0)+1,0),"")</f>
        <v/>
      </c>
      <c r="P220" s="77"/>
      <c r="Q220" s="481" t="str">
        <f>IFERROR(VLOOKUP(K218,【参考】数式用!$A$5:$J$37,MATCH(P220,【参考】数式用!$B$4:$J$4,0)+1,0),"")</f>
        <v/>
      </c>
      <c r="R220" s="482" t="s">
        <v>15</v>
      </c>
      <c r="S220" s="483">
        <v>6</v>
      </c>
      <c r="T220" s="484" t="s">
        <v>10</v>
      </c>
      <c r="U220" s="59">
        <v>4</v>
      </c>
      <c r="V220" s="484" t="s">
        <v>38</v>
      </c>
      <c r="W220" s="483">
        <v>6</v>
      </c>
      <c r="X220" s="484" t="s">
        <v>10</v>
      </c>
      <c r="Y220" s="59">
        <v>5</v>
      </c>
      <c r="Z220" s="484" t="s">
        <v>13</v>
      </c>
      <c r="AA220" s="485" t="s">
        <v>20</v>
      </c>
      <c r="AB220" s="486">
        <f t="shared" si="461"/>
        <v>2</v>
      </c>
      <c r="AC220" s="484" t="s">
        <v>33</v>
      </c>
      <c r="AD220" s="487" t="str">
        <f t="shared" ref="AD220" si="651">IFERROR(ROUNDDOWN(ROUND(L218*Q220,0),0)*AB220,"")</f>
        <v/>
      </c>
      <c r="AE220" s="488" t="str">
        <f t="shared" si="515"/>
        <v/>
      </c>
      <c r="AF220" s="489">
        <f t="shared" si="554"/>
        <v>0</v>
      </c>
      <c r="AG220" s="368"/>
      <c r="AH220" s="369"/>
      <c r="AI220" s="370"/>
      <c r="AJ220" s="371"/>
      <c r="AK220" s="372"/>
      <c r="AL220" s="373"/>
      <c r="AM220" s="490"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1" t="str">
        <f>IF(K218&lt;&gt;"","P列・R列に色付け","")</f>
        <v/>
      </c>
      <c r="AP220" s="492"/>
      <c r="AQ220" s="492"/>
      <c r="AW220" s="493"/>
      <c r="AX220" s="452" t="str">
        <f>G218</f>
        <v/>
      </c>
    </row>
    <row r="221" spans="1:50" ht="32.1" customHeight="1">
      <c r="A221" s="1266">
        <v>70</v>
      </c>
      <c r="B221" s="1203" t="str">
        <f>IF(基本情報入力シート!C123="","",基本情報入力シート!C123)</f>
        <v/>
      </c>
      <c r="C221" s="1203"/>
      <c r="D221" s="1203"/>
      <c r="E221" s="1203"/>
      <c r="F221" s="1203"/>
      <c r="G221" s="1206" t="str">
        <f>IF(基本情報入力シート!M123="","",基本情報入力シート!M123)</f>
        <v/>
      </c>
      <c r="H221" s="1206" t="str">
        <f>IF(基本情報入力シート!R123="","",基本情報入力シート!R123)</f>
        <v/>
      </c>
      <c r="I221" s="1206" t="str">
        <f>IF(基本情報入力シート!W123="","",基本情報入力シート!W123)</f>
        <v/>
      </c>
      <c r="J221" s="1206" t="str">
        <f>IF(基本情報入力シート!X123="","",基本情報入力シート!X123)</f>
        <v/>
      </c>
      <c r="K221" s="1206" t="str">
        <f>IF(基本情報入力シート!Y123="","",基本情報入力シート!Y123)</f>
        <v/>
      </c>
      <c r="L221" s="1209" t="str">
        <f>IF(基本情報入力シート!AB123="","",基本情報入力シート!AB123)</f>
        <v/>
      </c>
      <c r="M221" s="456" t="s">
        <v>132</v>
      </c>
      <c r="N221" s="75"/>
      <c r="O221" s="457" t="str">
        <f>IFERROR(VLOOKUP(K221,【参考】数式用!$A$5:$J$37,MATCH(N221,【参考】数式用!$B$4:$J$4,0)+1,0),"")</f>
        <v/>
      </c>
      <c r="P221" s="75"/>
      <c r="Q221" s="457" t="str">
        <f>IFERROR(VLOOKUP(K221,【参考】数式用!$A$5:$J$37,MATCH(P221,【参考】数式用!$B$4:$J$4,0)+1,0),"")</f>
        <v/>
      </c>
      <c r="R221" s="458" t="s">
        <v>15</v>
      </c>
      <c r="S221" s="459">
        <v>6</v>
      </c>
      <c r="T221" s="125" t="s">
        <v>10</v>
      </c>
      <c r="U221" s="39">
        <v>4</v>
      </c>
      <c r="V221" s="125" t="s">
        <v>38</v>
      </c>
      <c r="W221" s="459">
        <v>6</v>
      </c>
      <c r="X221" s="125" t="s">
        <v>10</v>
      </c>
      <c r="Y221" s="39">
        <v>5</v>
      </c>
      <c r="Z221" s="125" t="s">
        <v>13</v>
      </c>
      <c r="AA221" s="460" t="s">
        <v>20</v>
      </c>
      <c r="AB221" s="461">
        <f t="shared" si="461"/>
        <v>2</v>
      </c>
      <c r="AC221" s="125" t="s">
        <v>33</v>
      </c>
      <c r="AD221" s="462" t="str">
        <f t="shared" ref="AD221" si="653">IFERROR(ROUNDDOWN(ROUND(L221*Q221,0),0)*AB221,"")</f>
        <v/>
      </c>
      <c r="AE221" s="463" t="str">
        <f t="shared" ref="AE221" si="654">IFERROR(ROUNDDOWN(ROUND(L221*(Q221-O221),0),0)*AB221,"")</f>
        <v/>
      </c>
      <c r="AF221" s="464"/>
      <c r="AG221" s="374"/>
      <c r="AH221" s="382"/>
      <c r="AI221" s="379"/>
      <c r="AJ221" s="380"/>
      <c r="AK221" s="360"/>
      <c r="AL221" s="361"/>
      <c r="AM221" s="465" t="str">
        <f t="shared" ref="AM221" si="655">IF(AO221="","",IF(Q221&lt;O221,"！加算の要件上は問題ありませんが、令和６年３月と比較して４・５月に加算率が下がる計画になっています。",""))</f>
        <v/>
      </c>
      <c r="AO221" s="466" t="str">
        <f>IF(K221&lt;&gt;"","P列・R列に色付け","")</f>
        <v/>
      </c>
      <c r="AP221" s="467" t="str">
        <f>IFERROR(VLOOKUP(K221,【参考】数式用!$AH$2:$AI$34,2,FALSE),"")</f>
        <v/>
      </c>
      <c r="AQ221" s="469" t="str">
        <f>P221&amp;P222&amp;P223</f>
        <v/>
      </c>
      <c r="AR221" s="467" t="str">
        <f t="shared" ref="AR221" si="656">IF(AF223&lt;&gt;0,IF(AG223="○","入力済","未入力"),"")</f>
        <v/>
      </c>
      <c r="AS221" s="468" t="str">
        <f>IF(OR(P221="処遇加算Ⅰ",P221="処遇加算Ⅱ"),IF(OR(AH221="○",AH221="令和６年度中に満たす"),"入力済","未入力"),"")</f>
        <v/>
      </c>
      <c r="AT221" s="469" t="str">
        <f>IF(P221="処遇加算Ⅲ",IF(AI221="○","入力済","未入力"),"")</f>
        <v/>
      </c>
      <c r="AU221" s="467" t="str">
        <f>IF(P221="処遇加算Ⅰ",IF(OR(AJ221="○",AJ221="令和６年度中に満たす"),"入力済","未入力"),"")</f>
        <v/>
      </c>
      <c r="AV221" s="467" t="str">
        <f t="shared" ref="AV221" si="657">IF(OR(P222="特定加算Ⅰ",P222="特定加算Ⅱ"),1,"")</f>
        <v/>
      </c>
      <c r="AW221" s="452" t="str">
        <f>IF(P222="特定加算Ⅰ",IF(AL222="","未入力","入力済"),"")</f>
        <v/>
      </c>
      <c r="AX221" s="452" t="str">
        <f>G221</f>
        <v/>
      </c>
    </row>
    <row r="222" spans="1:50" ht="32.1" customHeight="1">
      <c r="A222" s="1267"/>
      <c r="B222" s="1204"/>
      <c r="C222" s="1204"/>
      <c r="D222" s="1204"/>
      <c r="E222" s="1204"/>
      <c r="F222" s="1204"/>
      <c r="G222" s="1207"/>
      <c r="H222" s="1207"/>
      <c r="I222" s="1207"/>
      <c r="J222" s="1207"/>
      <c r="K222" s="1207"/>
      <c r="L222" s="1210"/>
      <c r="M222" s="470" t="s">
        <v>121</v>
      </c>
      <c r="N222" s="76"/>
      <c r="O222" s="471" t="str">
        <f>IFERROR(VLOOKUP(K221,【参考】数式用!$A$5:$J$37,MATCH(N222,【参考】数式用!$B$4:$J$4,0)+1,0),"")</f>
        <v/>
      </c>
      <c r="P222" s="76"/>
      <c r="Q222" s="471" t="str">
        <f>IFERROR(VLOOKUP(K221,【参考】数式用!$A$5:$J$37,MATCH(P222,【参考】数式用!$B$4:$J$4,0)+1,0),"")</f>
        <v/>
      </c>
      <c r="R222" s="96" t="s">
        <v>15</v>
      </c>
      <c r="S222" s="472">
        <v>6</v>
      </c>
      <c r="T222" s="97" t="s">
        <v>10</v>
      </c>
      <c r="U222" s="58">
        <v>4</v>
      </c>
      <c r="V222" s="97" t="s">
        <v>38</v>
      </c>
      <c r="W222" s="472">
        <v>6</v>
      </c>
      <c r="X222" s="97" t="s">
        <v>10</v>
      </c>
      <c r="Y222" s="58">
        <v>5</v>
      </c>
      <c r="Z222" s="97" t="s">
        <v>13</v>
      </c>
      <c r="AA222" s="473" t="s">
        <v>20</v>
      </c>
      <c r="AB222" s="474">
        <f t="shared" si="461"/>
        <v>2</v>
      </c>
      <c r="AC222" s="97" t="s">
        <v>33</v>
      </c>
      <c r="AD222" s="475" t="str">
        <f t="shared" ref="AD222" si="658">IFERROR(ROUNDDOWN(ROUND(L221*Q222,0),0)*AB222,"")</f>
        <v/>
      </c>
      <c r="AE222" s="476" t="str">
        <f t="shared" ref="AE222" si="659">IFERROR(ROUNDDOWN(ROUND(L221*(Q222-O222),0),0)*AB222,"")</f>
        <v/>
      </c>
      <c r="AF222" s="477"/>
      <c r="AG222" s="362"/>
      <c r="AH222" s="363"/>
      <c r="AI222" s="364"/>
      <c r="AJ222" s="365"/>
      <c r="AK222" s="366"/>
      <c r="AL222" s="367"/>
      <c r="AM222" s="478"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79"/>
      <c r="AO222" s="466" t="str">
        <f>IF(K221&lt;&gt;"","P列・R列に色付け","")</f>
        <v/>
      </c>
      <c r="AX222" s="452" t="str">
        <f>G221</f>
        <v/>
      </c>
    </row>
    <row r="223" spans="1:50" ht="32.1" customHeight="1" thickBot="1">
      <c r="A223" s="1268"/>
      <c r="B223" s="1205"/>
      <c r="C223" s="1205"/>
      <c r="D223" s="1205"/>
      <c r="E223" s="1205"/>
      <c r="F223" s="1205"/>
      <c r="G223" s="1208"/>
      <c r="H223" s="1208"/>
      <c r="I223" s="1208"/>
      <c r="J223" s="1208"/>
      <c r="K223" s="1208"/>
      <c r="L223" s="1211"/>
      <c r="M223" s="480" t="s">
        <v>114</v>
      </c>
      <c r="N223" s="79"/>
      <c r="O223" s="481" t="str">
        <f>IFERROR(VLOOKUP(K221,【参考】数式用!$A$5:$J$37,MATCH(N223,【参考】数式用!$B$4:$J$4,0)+1,0),"")</f>
        <v/>
      </c>
      <c r="P223" s="77"/>
      <c r="Q223" s="481" t="str">
        <f>IFERROR(VLOOKUP(K221,【参考】数式用!$A$5:$J$37,MATCH(P223,【参考】数式用!$B$4:$J$4,0)+1,0),"")</f>
        <v/>
      </c>
      <c r="R223" s="482" t="s">
        <v>15</v>
      </c>
      <c r="S223" s="483">
        <v>6</v>
      </c>
      <c r="T223" s="484" t="s">
        <v>10</v>
      </c>
      <c r="U223" s="59">
        <v>4</v>
      </c>
      <c r="V223" s="484" t="s">
        <v>38</v>
      </c>
      <c r="W223" s="483">
        <v>6</v>
      </c>
      <c r="X223" s="484" t="s">
        <v>10</v>
      </c>
      <c r="Y223" s="59">
        <v>5</v>
      </c>
      <c r="Z223" s="484" t="s">
        <v>13</v>
      </c>
      <c r="AA223" s="485" t="s">
        <v>20</v>
      </c>
      <c r="AB223" s="486">
        <f t="shared" ref="AB223:AB286" si="661">IF(U223&gt;=1,(W223*12+Y223)-(S223*12+U223)+1,"")</f>
        <v>2</v>
      </c>
      <c r="AC223" s="484" t="s">
        <v>33</v>
      </c>
      <c r="AD223" s="487" t="str">
        <f t="shared" ref="AD223" si="662">IFERROR(ROUNDDOWN(ROUND(L221*Q223,0),0)*AB223,"")</f>
        <v/>
      </c>
      <c r="AE223" s="488" t="str">
        <f t="shared" ref="AE223" si="663">IFERROR(ROUNDDOWN(ROUND(L221*(Q223-O223),0),0)*AB223,"")</f>
        <v/>
      </c>
      <c r="AF223" s="489">
        <f t="shared" si="554"/>
        <v>0</v>
      </c>
      <c r="AG223" s="368"/>
      <c r="AH223" s="369"/>
      <c r="AI223" s="370"/>
      <c r="AJ223" s="371"/>
      <c r="AK223" s="372"/>
      <c r="AL223" s="373"/>
      <c r="AM223" s="490"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1" t="str">
        <f>IF(K221&lt;&gt;"","P列・R列に色付け","")</f>
        <v/>
      </c>
      <c r="AP223" s="492"/>
      <c r="AQ223" s="492"/>
      <c r="AW223" s="493"/>
      <c r="AX223" s="452" t="str">
        <f>G221</f>
        <v/>
      </c>
    </row>
    <row r="224" spans="1:50" ht="32.1" customHeight="1">
      <c r="A224" s="1266">
        <v>71</v>
      </c>
      <c r="B224" s="1203" t="str">
        <f>IF(基本情報入力シート!C124="","",基本情報入力シート!C124)</f>
        <v/>
      </c>
      <c r="C224" s="1203"/>
      <c r="D224" s="1203"/>
      <c r="E224" s="1203"/>
      <c r="F224" s="1203"/>
      <c r="G224" s="1206" t="str">
        <f>IF(基本情報入力シート!M124="","",基本情報入力シート!M124)</f>
        <v/>
      </c>
      <c r="H224" s="1206" t="str">
        <f>IF(基本情報入力シート!R124="","",基本情報入力シート!R124)</f>
        <v/>
      </c>
      <c r="I224" s="1206" t="str">
        <f>IF(基本情報入力シート!W124="","",基本情報入力シート!W124)</f>
        <v/>
      </c>
      <c r="J224" s="1206" t="str">
        <f>IF(基本情報入力シート!X124="","",基本情報入力シート!X124)</f>
        <v/>
      </c>
      <c r="K224" s="1206" t="str">
        <f>IF(基本情報入力シート!Y124="","",基本情報入力シート!Y124)</f>
        <v/>
      </c>
      <c r="L224" s="1209" t="str">
        <f>IF(基本情報入力シート!AB124="","",基本情報入力シート!AB124)</f>
        <v/>
      </c>
      <c r="M224" s="456" t="s">
        <v>132</v>
      </c>
      <c r="N224" s="75"/>
      <c r="O224" s="457" t="str">
        <f>IFERROR(VLOOKUP(K224,【参考】数式用!$A$5:$J$37,MATCH(N224,【参考】数式用!$B$4:$J$4,0)+1,0),"")</f>
        <v/>
      </c>
      <c r="P224" s="75"/>
      <c r="Q224" s="457" t="str">
        <f>IFERROR(VLOOKUP(K224,【参考】数式用!$A$5:$J$37,MATCH(P224,【参考】数式用!$B$4:$J$4,0)+1,0),"")</f>
        <v/>
      </c>
      <c r="R224" s="458" t="s">
        <v>15</v>
      </c>
      <c r="S224" s="459">
        <v>6</v>
      </c>
      <c r="T224" s="125" t="s">
        <v>10</v>
      </c>
      <c r="U224" s="39">
        <v>4</v>
      </c>
      <c r="V224" s="125" t="s">
        <v>38</v>
      </c>
      <c r="W224" s="459">
        <v>6</v>
      </c>
      <c r="X224" s="125" t="s">
        <v>10</v>
      </c>
      <c r="Y224" s="39">
        <v>5</v>
      </c>
      <c r="Z224" s="125" t="s">
        <v>13</v>
      </c>
      <c r="AA224" s="460" t="s">
        <v>20</v>
      </c>
      <c r="AB224" s="461">
        <f t="shared" si="661"/>
        <v>2</v>
      </c>
      <c r="AC224" s="125" t="s">
        <v>33</v>
      </c>
      <c r="AD224" s="462" t="str">
        <f t="shared" ref="AD224" si="665">IFERROR(ROUNDDOWN(ROUND(L224*Q224,0),0)*AB224,"")</f>
        <v/>
      </c>
      <c r="AE224" s="463" t="str">
        <f t="shared" si="496"/>
        <v/>
      </c>
      <c r="AF224" s="464"/>
      <c r="AG224" s="374"/>
      <c r="AH224" s="382"/>
      <c r="AI224" s="379"/>
      <c r="AJ224" s="380"/>
      <c r="AK224" s="360"/>
      <c r="AL224" s="361"/>
      <c r="AM224" s="465" t="str">
        <f t="shared" ref="AM224" si="666">IF(AO224="","",IF(Q224&lt;O224,"！加算の要件上は問題ありませんが、令和６年３月と比較して４・５月に加算率が下がる計画になっています。",""))</f>
        <v/>
      </c>
      <c r="AO224" s="466" t="str">
        <f>IF(K224&lt;&gt;"","P列・R列に色付け","")</f>
        <v/>
      </c>
      <c r="AP224" s="467" t="str">
        <f>IFERROR(VLOOKUP(K224,【参考】数式用!$AH$2:$AI$34,2,FALSE),"")</f>
        <v/>
      </c>
      <c r="AQ224" s="469" t="str">
        <f>P224&amp;P225&amp;P226</f>
        <v/>
      </c>
      <c r="AR224" s="467" t="str">
        <f t="shared" ref="AR224" si="667">IF(AF226&lt;&gt;0,IF(AG226="○","入力済","未入力"),"")</f>
        <v/>
      </c>
      <c r="AS224" s="468" t="str">
        <f>IF(OR(P224="処遇加算Ⅰ",P224="処遇加算Ⅱ"),IF(OR(AH224="○",AH224="令和６年度中に満たす"),"入力済","未入力"),"")</f>
        <v/>
      </c>
      <c r="AT224" s="469" t="str">
        <f>IF(P224="処遇加算Ⅲ",IF(AI224="○","入力済","未入力"),"")</f>
        <v/>
      </c>
      <c r="AU224" s="467" t="str">
        <f>IF(P224="処遇加算Ⅰ",IF(OR(AJ224="○",AJ224="令和６年度中に満たす"),"入力済","未入力"),"")</f>
        <v/>
      </c>
      <c r="AV224" s="467" t="str">
        <f t="shared" ref="AV224" si="668">IF(OR(P225="特定加算Ⅰ",P225="特定加算Ⅱ"),1,"")</f>
        <v/>
      </c>
      <c r="AW224" s="452" t="str">
        <f>IF(P225="特定加算Ⅰ",IF(AL225="","未入力","入力済"),"")</f>
        <v/>
      </c>
      <c r="AX224" s="452" t="str">
        <f>G224</f>
        <v/>
      </c>
    </row>
    <row r="225" spans="1:50" ht="32.1" customHeight="1">
      <c r="A225" s="1267"/>
      <c r="B225" s="1204"/>
      <c r="C225" s="1204"/>
      <c r="D225" s="1204"/>
      <c r="E225" s="1204"/>
      <c r="F225" s="1204"/>
      <c r="G225" s="1207"/>
      <c r="H225" s="1207"/>
      <c r="I225" s="1207"/>
      <c r="J225" s="1207"/>
      <c r="K225" s="1207"/>
      <c r="L225" s="1210"/>
      <c r="M225" s="470" t="s">
        <v>121</v>
      </c>
      <c r="N225" s="76"/>
      <c r="O225" s="471" t="str">
        <f>IFERROR(VLOOKUP(K224,【参考】数式用!$A$5:$J$37,MATCH(N225,【参考】数式用!$B$4:$J$4,0)+1,0),"")</f>
        <v/>
      </c>
      <c r="P225" s="76"/>
      <c r="Q225" s="471" t="str">
        <f>IFERROR(VLOOKUP(K224,【参考】数式用!$A$5:$J$37,MATCH(P225,【参考】数式用!$B$4:$J$4,0)+1,0),"")</f>
        <v/>
      </c>
      <c r="R225" s="96" t="s">
        <v>15</v>
      </c>
      <c r="S225" s="472">
        <v>6</v>
      </c>
      <c r="T225" s="97" t="s">
        <v>10</v>
      </c>
      <c r="U225" s="58">
        <v>4</v>
      </c>
      <c r="V225" s="97" t="s">
        <v>38</v>
      </c>
      <c r="W225" s="472">
        <v>6</v>
      </c>
      <c r="X225" s="97" t="s">
        <v>10</v>
      </c>
      <c r="Y225" s="58">
        <v>5</v>
      </c>
      <c r="Z225" s="97" t="s">
        <v>13</v>
      </c>
      <c r="AA225" s="473" t="s">
        <v>20</v>
      </c>
      <c r="AB225" s="474">
        <f t="shared" si="661"/>
        <v>2</v>
      </c>
      <c r="AC225" s="97" t="s">
        <v>33</v>
      </c>
      <c r="AD225" s="475" t="str">
        <f t="shared" ref="AD225" si="669">IFERROR(ROUNDDOWN(ROUND(L224*Q225,0),0)*AB225,"")</f>
        <v/>
      </c>
      <c r="AE225" s="476" t="str">
        <f t="shared" si="501"/>
        <v/>
      </c>
      <c r="AF225" s="477"/>
      <c r="AG225" s="362"/>
      <c r="AH225" s="363"/>
      <c r="AI225" s="364"/>
      <c r="AJ225" s="365"/>
      <c r="AK225" s="366"/>
      <c r="AL225" s="367"/>
      <c r="AM225" s="478"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79"/>
      <c r="AO225" s="466" t="str">
        <f>IF(K224&lt;&gt;"","P列・R列に色付け","")</f>
        <v/>
      </c>
      <c r="AX225" s="452" t="str">
        <f>G224</f>
        <v/>
      </c>
    </row>
    <row r="226" spans="1:50" ht="32.1" customHeight="1" thickBot="1">
      <c r="A226" s="1268"/>
      <c r="B226" s="1205"/>
      <c r="C226" s="1205"/>
      <c r="D226" s="1205"/>
      <c r="E226" s="1205"/>
      <c r="F226" s="1205"/>
      <c r="G226" s="1208"/>
      <c r="H226" s="1208"/>
      <c r="I226" s="1208"/>
      <c r="J226" s="1208"/>
      <c r="K226" s="1208"/>
      <c r="L226" s="1211"/>
      <c r="M226" s="480" t="s">
        <v>114</v>
      </c>
      <c r="N226" s="79"/>
      <c r="O226" s="481" t="str">
        <f>IFERROR(VLOOKUP(K224,【参考】数式用!$A$5:$J$37,MATCH(N226,【参考】数式用!$B$4:$J$4,0)+1,0),"")</f>
        <v/>
      </c>
      <c r="P226" s="77"/>
      <c r="Q226" s="481" t="str">
        <f>IFERROR(VLOOKUP(K224,【参考】数式用!$A$5:$J$37,MATCH(P226,【参考】数式用!$B$4:$J$4,0)+1,0),"")</f>
        <v/>
      </c>
      <c r="R226" s="482" t="s">
        <v>15</v>
      </c>
      <c r="S226" s="483">
        <v>6</v>
      </c>
      <c r="T226" s="484" t="s">
        <v>10</v>
      </c>
      <c r="U226" s="59">
        <v>4</v>
      </c>
      <c r="V226" s="484" t="s">
        <v>38</v>
      </c>
      <c r="W226" s="483">
        <v>6</v>
      </c>
      <c r="X226" s="484" t="s">
        <v>10</v>
      </c>
      <c r="Y226" s="59">
        <v>5</v>
      </c>
      <c r="Z226" s="484" t="s">
        <v>13</v>
      </c>
      <c r="AA226" s="485" t="s">
        <v>20</v>
      </c>
      <c r="AB226" s="486">
        <f t="shared" si="661"/>
        <v>2</v>
      </c>
      <c r="AC226" s="484" t="s">
        <v>33</v>
      </c>
      <c r="AD226" s="487" t="str">
        <f t="shared" ref="AD226" si="671">IFERROR(ROUNDDOWN(ROUND(L224*Q226,0),0)*AB226,"")</f>
        <v/>
      </c>
      <c r="AE226" s="488" t="str">
        <f t="shared" si="504"/>
        <v/>
      </c>
      <c r="AF226" s="489">
        <f t="shared" si="554"/>
        <v>0</v>
      </c>
      <c r="AG226" s="368"/>
      <c r="AH226" s="369"/>
      <c r="AI226" s="370"/>
      <c r="AJ226" s="371"/>
      <c r="AK226" s="372"/>
      <c r="AL226" s="373"/>
      <c r="AM226" s="490"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1" t="str">
        <f>IF(K224&lt;&gt;"","P列・R列に色付け","")</f>
        <v/>
      </c>
      <c r="AP226" s="492"/>
      <c r="AQ226" s="492"/>
      <c r="AW226" s="493"/>
      <c r="AX226" s="452" t="str">
        <f>G224</f>
        <v/>
      </c>
    </row>
    <row r="227" spans="1:50" ht="32.1" customHeight="1">
      <c r="A227" s="1266">
        <v>72</v>
      </c>
      <c r="B227" s="1203" t="str">
        <f>IF(基本情報入力シート!C125="","",基本情報入力シート!C125)</f>
        <v/>
      </c>
      <c r="C227" s="1203"/>
      <c r="D227" s="1203"/>
      <c r="E227" s="1203"/>
      <c r="F227" s="1203"/>
      <c r="G227" s="1206" t="str">
        <f>IF(基本情報入力シート!M125="","",基本情報入力シート!M125)</f>
        <v/>
      </c>
      <c r="H227" s="1206" t="str">
        <f>IF(基本情報入力シート!R125="","",基本情報入力シート!R125)</f>
        <v/>
      </c>
      <c r="I227" s="1206" t="str">
        <f>IF(基本情報入力シート!W125="","",基本情報入力シート!W125)</f>
        <v/>
      </c>
      <c r="J227" s="1206" t="str">
        <f>IF(基本情報入力シート!X125="","",基本情報入力シート!X125)</f>
        <v/>
      </c>
      <c r="K227" s="1206" t="str">
        <f>IF(基本情報入力シート!Y125="","",基本情報入力シート!Y125)</f>
        <v/>
      </c>
      <c r="L227" s="1209" t="str">
        <f>IF(基本情報入力シート!AB125="","",基本情報入力シート!AB125)</f>
        <v/>
      </c>
      <c r="M227" s="456" t="s">
        <v>132</v>
      </c>
      <c r="N227" s="75"/>
      <c r="O227" s="457" t="str">
        <f>IFERROR(VLOOKUP(K227,【参考】数式用!$A$5:$J$37,MATCH(N227,【参考】数式用!$B$4:$J$4,0)+1,0),"")</f>
        <v/>
      </c>
      <c r="P227" s="75"/>
      <c r="Q227" s="457" t="str">
        <f>IFERROR(VLOOKUP(K227,【参考】数式用!$A$5:$J$37,MATCH(P227,【参考】数式用!$B$4:$J$4,0)+1,0),"")</f>
        <v/>
      </c>
      <c r="R227" s="458" t="s">
        <v>15</v>
      </c>
      <c r="S227" s="459">
        <v>6</v>
      </c>
      <c r="T227" s="125" t="s">
        <v>10</v>
      </c>
      <c r="U227" s="39">
        <v>4</v>
      </c>
      <c r="V227" s="125" t="s">
        <v>38</v>
      </c>
      <c r="W227" s="459">
        <v>6</v>
      </c>
      <c r="X227" s="125" t="s">
        <v>10</v>
      </c>
      <c r="Y227" s="39">
        <v>5</v>
      </c>
      <c r="Z227" s="125" t="s">
        <v>13</v>
      </c>
      <c r="AA227" s="460" t="s">
        <v>20</v>
      </c>
      <c r="AB227" s="461">
        <f t="shared" si="661"/>
        <v>2</v>
      </c>
      <c r="AC227" s="125" t="s">
        <v>33</v>
      </c>
      <c r="AD227" s="462" t="str">
        <f t="shared" ref="AD227" si="673">IFERROR(ROUNDDOWN(ROUND(L227*Q227,0),0)*AB227,"")</f>
        <v/>
      </c>
      <c r="AE227" s="463" t="str">
        <f t="shared" si="507"/>
        <v/>
      </c>
      <c r="AF227" s="464"/>
      <c r="AG227" s="374"/>
      <c r="AH227" s="382"/>
      <c r="AI227" s="379"/>
      <c r="AJ227" s="380"/>
      <c r="AK227" s="360"/>
      <c r="AL227" s="361"/>
      <c r="AM227" s="465" t="str">
        <f t="shared" ref="AM227" si="674">IF(AO227="","",IF(Q227&lt;O227,"！加算の要件上は問題ありませんが、令和６年３月と比較して４・５月に加算率が下がる計画になっています。",""))</f>
        <v/>
      </c>
      <c r="AO227" s="466" t="str">
        <f>IF(K227&lt;&gt;"","P列・R列に色付け","")</f>
        <v/>
      </c>
      <c r="AP227" s="467" t="str">
        <f>IFERROR(VLOOKUP(K227,【参考】数式用!$AH$2:$AI$34,2,FALSE),"")</f>
        <v/>
      </c>
      <c r="AQ227" s="469" t="str">
        <f>P227&amp;P228&amp;P229</f>
        <v/>
      </c>
      <c r="AR227" s="467" t="str">
        <f t="shared" ref="AR227" si="675">IF(AF229&lt;&gt;0,IF(AG229="○","入力済","未入力"),"")</f>
        <v/>
      </c>
      <c r="AS227" s="468" t="str">
        <f>IF(OR(P227="処遇加算Ⅰ",P227="処遇加算Ⅱ"),IF(OR(AH227="○",AH227="令和６年度中に満たす"),"入力済","未入力"),"")</f>
        <v/>
      </c>
      <c r="AT227" s="469" t="str">
        <f>IF(P227="処遇加算Ⅲ",IF(AI227="○","入力済","未入力"),"")</f>
        <v/>
      </c>
      <c r="AU227" s="467" t="str">
        <f>IF(P227="処遇加算Ⅰ",IF(OR(AJ227="○",AJ227="令和６年度中に満たす"),"入力済","未入力"),"")</f>
        <v/>
      </c>
      <c r="AV227" s="467" t="str">
        <f t="shared" ref="AV227" si="676">IF(OR(P228="特定加算Ⅰ",P228="特定加算Ⅱ"),1,"")</f>
        <v/>
      </c>
      <c r="AW227" s="452" t="str">
        <f>IF(P228="特定加算Ⅰ",IF(AL228="","未入力","入力済"),"")</f>
        <v/>
      </c>
      <c r="AX227" s="452" t="str">
        <f>G227</f>
        <v/>
      </c>
    </row>
    <row r="228" spans="1:50" ht="32.1" customHeight="1">
      <c r="A228" s="1267"/>
      <c r="B228" s="1204"/>
      <c r="C228" s="1204"/>
      <c r="D228" s="1204"/>
      <c r="E228" s="1204"/>
      <c r="F228" s="1204"/>
      <c r="G228" s="1207"/>
      <c r="H228" s="1207"/>
      <c r="I228" s="1207"/>
      <c r="J228" s="1207"/>
      <c r="K228" s="1207"/>
      <c r="L228" s="1210"/>
      <c r="M228" s="470" t="s">
        <v>121</v>
      </c>
      <c r="N228" s="76"/>
      <c r="O228" s="471" t="str">
        <f>IFERROR(VLOOKUP(K227,【参考】数式用!$A$5:$J$37,MATCH(N228,【参考】数式用!$B$4:$J$4,0)+1,0),"")</f>
        <v/>
      </c>
      <c r="P228" s="76"/>
      <c r="Q228" s="471" t="str">
        <f>IFERROR(VLOOKUP(K227,【参考】数式用!$A$5:$J$37,MATCH(P228,【参考】数式用!$B$4:$J$4,0)+1,0),"")</f>
        <v/>
      </c>
      <c r="R228" s="96" t="s">
        <v>15</v>
      </c>
      <c r="S228" s="472">
        <v>6</v>
      </c>
      <c r="T228" s="97" t="s">
        <v>10</v>
      </c>
      <c r="U228" s="58">
        <v>4</v>
      </c>
      <c r="V228" s="97" t="s">
        <v>38</v>
      </c>
      <c r="W228" s="472">
        <v>6</v>
      </c>
      <c r="X228" s="97" t="s">
        <v>10</v>
      </c>
      <c r="Y228" s="58">
        <v>5</v>
      </c>
      <c r="Z228" s="97" t="s">
        <v>13</v>
      </c>
      <c r="AA228" s="473" t="s">
        <v>20</v>
      </c>
      <c r="AB228" s="474">
        <f t="shared" si="661"/>
        <v>2</v>
      </c>
      <c r="AC228" s="97" t="s">
        <v>33</v>
      </c>
      <c r="AD228" s="475" t="str">
        <f t="shared" ref="AD228" si="677">IFERROR(ROUNDDOWN(ROUND(L227*Q228,0),0)*AB228,"")</f>
        <v/>
      </c>
      <c r="AE228" s="476" t="str">
        <f t="shared" si="512"/>
        <v/>
      </c>
      <c r="AF228" s="477"/>
      <c r="AG228" s="362"/>
      <c r="AH228" s="363"/>
      <c r="AI228" s="364"/>
      <c r="AJ228" s="365"/>
      <c r="AK228" s="366"/>
      <c r="AL228" s="367"/>
      <c r="AM228" s="478"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79"/>
      <c r="AO228" s="466" t="str">
        <f>IF(K227&lt;&gt;"","P列・R列に色付け","")</f>
        <v/>
      </c>
      <c r="AX228" s="452" t="str">
        <f>G227</f>
        <v/>
      </c>
    </row>
    <row r="229" spans="1:50" ht="32.1" customHeight="1" thickBot="1">
      <c r="A229" s="1268"/>
      <c r="B229" s="1205"/>
      <c r="C229" s="1205"/>
      <c r="D229" s="1205"/>
      <c r="E229" s="1205"/>
      <c r="F229" s="1205"/>
      <c r="G229" s="1208"/>
      <c r="H229" s="1208"/>
      <c r="I229" s="1208"/>
      <c r="J229" s="1208"/>
      <c r="K229" s="1208"/>
      <c r="L229" s="1211"/>
      <c r="M229" s="480" t="s">
        <v>114</v>
      </c>
      <c r="N229" s="79"/>
      <c r="O229" s="481" t="str">
        <f>IFERROR(VLOOKUP(K227,【参考】数式用!$A$5:$J$37,MATCH(N229,【参考】数式用!$B$4:$J$4,0)+1,0),"")</f>
        <v/>
      </c>
      <c r="P229" s="77"/>
      <c r="Q229" s="481" t="str">
        <f>IFERROR(VLOOKUP(K227,【参考】数式用!$A$5:$J$37,MATCH(P229,【参考】数式用!$B$4:$J$4,0)+1,0),"")</f>
        <v/>
      </c>
      <c r="R229" s="482" t="s">
        <v>15</v>
      </c>
      <c r="S229" s="483">
        <v>6</v>
      </c>
      <c r="T229" s="484" t="s">
        <v>10</v>
      </c>
      <c r="U229" s="59">
        <v>4</v>
      </c>
      <c r="V229" s="484" t="s">
        <v>38</v>
      </c>
      <c r="W229" s="483">
        <v>6</v>
      </c>
      <c r="X229" s="484" t="s">
        <v>10</v>
      </c>
      <c r="Y229" s="59">
        <v>5</v>
      </c>
      <c r="Z229" s="484" t="s">
        <v>13</v>
      </c>
      <c r="AA229" s="485" t="s">
        <v>20</v>
      </c>
      <c r="AB229" s="486">
        <f t="shared" si="661"/>
        <v>2</v>
      </c>
      <c r="AC229" s="484" t="s">
        <v>33</v>
      </c>
      <c r="AD229" s="487" t="str">
        <f t="shared" ref="AD229" si="679">IFERROR(ROUNDDOWN(ROUND(L227*Q229,0),0)*AB229,"")</f>
        <v/>
      </c>
      <c r="AE229" s="488" t="str">
        <f t="shared" si="515"/>
        <v/>
      </c>
      <c r="AF229" s="489">
        <f t="shared" si="554"/>
        <v>0</v>
      </c>
      <c r="AG229" s="368"/>
      <c r="AH229" s="369"/>
      <c r="AI229" s="370"/>
      <c r="AJ229" s="371"/>
      <c r="AK229" s="372"/>
      <c r="AL229" s="373"/>
      <c r="AM229" s="490"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1" t="str">
        <f>IF(K227&lt;&gt;"","P列・R列に色付け","")</f>
        <v/>
      </c>
      <c r="AP229" s="492"/>
      <c r="AQ229" s="492"/>
      <c r="AW229" s="493"/>
      <c r="AX229" s="452" t="str">
        <f>G227</f>
        <v/>
      </c>
    </row>
    <row r="230" spans="1:50" ht="32.1" customHeight="1">
      <c r="A230" s="1266">
        <v>73</v>
      </c>
      <c r="B230" s="1203" t="str">
        <f>IF(基本情報入力シート!C126="","",基本情報入力シート!C126)</f>
        <v/>
      </c>
      <c r="C230" s="1203"/>
      <c r="D230" s="1203"/>
      <c r="E230" s="1203"/>
      <c r="F230" s="1203"/>
      <c r="G230" s="1206" t="str">
        <f>IF(基本情報入力シート!M126="","",基本情報入力シート!M126)</f>
        <v/>
      </c>
      <c r="H230" s="1206" t="str">
        <f>IF(基本情報入力シート!R126="","",基本情報入力シート!R126)</f>
        <v/>
      </c>
      <c r="I230" s="1206" t="str">
        <f>IF(基本情報入力シート!W126="","",基本情報入力シート!W126)</f>
        <v/>
      </c>
      <c r="J230" s="1206" t="str">
        <f>IF(基本情報入力シート!X126="","",基本情報入力シート!X126)</f>
        <v/>
      </c>
      <c r="K230" s="1206" t="str">
        <f>IF(基本情報入力シート!Y126="","",基本情報入力シート!Y126)</f>
        <v/>
      </c>
      <c r="L230" s="1209" t="str">
        <f>IF(基本情報入力シート!AB126="","",基本情報入力シート!AB126)</f>
        <v/>
      </c>
      <c r="M230" s="456" t="s">
        <v>132</v>
      </c>
      <c r="N230" s="75"/>
      <c r="O230" s="457" t="str">
        <f>IFERROR(VLOOKUP(K230,【参考】数式用!$A$5:$J$37,MATCH(N230,【参考】数式用!$B$4:$J$4,0)+1,0),"")</f>
        <v/>
      </c>
      <c r="P230" s="75"/>
      <c r="Q230" s="457" t="str">
        <f>IFERROR(VLOOKUP(K230,【参考】数式用!$A$5:$J$37,MATCH(P230,【参考】数式用!$B$4:$J$4,0)+1,0),"")</f>
        <v/>
      </c>
      <c r="R230" s="458" t="s">
        <v>15</v>
      </c>
      <c r="S230" s="459">
        <v>6</v>
      </c>
      <c r="T230" s="125" t="s">
        <v>10</v>
      </c>
      <c r="U230" s="39">
        <v>4</v>
      </c>
      <c r="V230" s="125" t="s">
        <v>38</v>
      </c>
      <c r="W230" s="459">
        <v>6</v>
      </c>
      <c r="X230" s="125" t="s">
        <v>10</v>
      </c>
      <c r="Y230" s="39">
        <v>5</v>
      </c>
      <c r="Z230" s="125" t="s">
        <v>13</v>
      </c>
      <c r="AA230" s="460" t="s">
        <v>20</v>
      </c>
      <c r="AB230" s="461">
        <f t="shared" si="661"/>
        <v>2</v>
      </c>
      <c r="AC230" s="125" t="s">
        <v>33</v>
      </c>
      <c r="AD230" s="462" t="str">
        <f t="shared" ref="AD230" si="681">IFERROR(ROUNDDOWN(ROUND(L230*Q230,0),0)*AB230,"")</f>
        <v/>
      </c>
      <c r="AE230" s="463" t="str">
        <f t="shared" ref="AE230" si="682">IFERROR(ROUNDDOWN(ROUND(L230*(Q230-O230),0),0)*AB230,"")</f>
        <v/>
      </c>
      <c r="AF230" s="464"/>
      <c r="AG230" s="374"/>
      <c r="AH230" s="382"/>
      <c r="AI230" s="379"/>
      <c r="AJ230" s="380"/>
      <c r="AK230" s="360"/>
      <c r="AL230" s="361"/>
      <c r="AM230" s="465" t="str">
        <f t="shared" ref="AM230" si="683">IF(AO230="","",IF(Q230&lt;O230,"！加算の要件上は問題ありませんが、令和６年３月と比較して４・５月に加算率が下がる計画になっています。",""))</f>
        <v/>
      </c>
      <c r="AO230" s="466" t="str">
        <f>IF(K230&lt;&gt;"","P列・R列に色付け","")</f>
        <v/>
      </c>
      <c r="AP230" s="467" t="str">
        <f>IFERROR(VLOOKUP(K230,【参考】数式用!$AH$2:$AI$34,2,FALSE),"")</f>
        <v/>
      </c>
      <c r="AQ230" s="469" t="str">
        <f>P230&amp;P231&amp;P232</f>
        <v/>
      </c>
      <c r="AR230" s="467" t="str">
        <f t="shared" ref="AR230" si="684">IF(AF232&lt;&gt;0,IF(AG232="○","入力済","未入力"),"")</f>
        <v/>
      </c>
      <c r="AS230" s="468" t="str">
        <f>IF(OR(P230="処遇加算Ⅰ",P230="処遇加算Ⅱ"),IF(OR(AH230="○",AH230="令和６年度中に満たす"),"入力済","未入力"),"")</f>
        <v/>
      </c>
      <c r="AT230" s="469" t="str">
        <f>IF(P230="処遇加算Ⅲ",IF(AI230="○","入力済","未入力"),"")</f>
        <v/>
      </c>
      <c r="AU230" s="467" t="str">
        <f>IF(P230="処遇加算Ⅰ",IF(OR(AJ230="○",AJ230="令和６年度中に満たす"),"入力済","未入力"),"")</f>
        <v/>
      </c>
      <c r="AV230" s="467" t="str">
        <f t="shared" ref="AV230" si="685">IF(OR(P231="特定加算Ⅰ",P231="特定加算Ⅱ"),1,"")</f>
        <v/>
      </c>
      <c r="AW230" s="452" t="str">
        <f>IF(P231="特定加算Ⅰ",IF(AL231="","未入力","入力済"),"")</f>
        <v/>
      </c>
      <c r="AX230" s="452" t="str">
        <f>G230</f>
        <v/>
      </c>
    </row>
    <row r="231" spans="1:50" ht="32.1" customHeight="1">
      <c r="A231" s="1267"/>
      <c r="B231" s="1204"/>
      <c r="C231" s="1204"/>
      <c r="D231" s="1204"/>
      <c r="E231" s="1204"/>
      <c r="F231" s="1204"/>
      <c r="G231" s="1207"/>
      <c r="H231" s="1207"/>
      <c r="I231" s="1207"/>
      <c r="J231" s="1207"/>
      <c r="K231" s="1207"/>
      <c r="L231" s="1210"/>
      <c r="M231" s="470" t="s">
        <v>121</v>
      </c>
      <c r="N231" s="76"/>
      <c r="O231" s="471" t="str">
        <f>IFERROR(VLOOKUP(K230,【参考】数式用!$A$5:$J$37,MATCH(N231,【参考】数式用!$B$4:$J$4,0)+1,0),"")</f>
        <v/>
      </c>
      <c r="P231" s="76"/>
      <c r="Q231" s="471" t="str">
        <f>IFERROR(VLOOKUP(K230,【参考】数式用!$A$5:$J$37,MATCH(P231,【参考】数式用!$B$4:$J$4,0)+1,0),"")</f>
        <v/>
      </c>
      <c r="R231" s="96" t="s">
        <v>15</v>
      </c>
      <c r="S231" s="472">
        <v>6</v>
      </c>
      <c r="T231" s="97" t="s">
        <v>10</v>
      </c>
      <c r="U231" s="58">
        <v>4</v>
      </c>
      <c r="V231" s="97" t="s">
        <v>38</v>
      </c>
      <c r="W231" s="472">
        <v>6</v>
      </c>
      <c r="X231" s="97" t="s">
        <v>10</v>
      </c>
      <c r="Y231" s="58">
        <v>5</v>
      </c>
      <c r="Z231" s="97" t="s">
        <v>13</v>
      </c>
      <c r="AA231" s="473" t="s">
        <v>20</v>
      </c>
      <c r="AB231" s="474">
        <f t="shared" si="661"/>
        <v>2</v>
      </c>
      <c r="AC231" s="97" t="s">
        <v>33</v>
      </c>
      <c r="AD231" s="475" t="str">
        <f t="shared" ref="AD231" si="686">IFERROR(ROUNDDOWN(ROUND(L230*Q231,0),0)*AB231,"")</f>
        <v/>
      </c>
      <c r="AE231" s="476" t="str">
        <f t="shared" ref="AE231" si="687">IFERROR(ROUNDDOWN(ROUND(L230*(Q231-O231),0),0)*AB231,"")</f>
        <v/>
      </c>
      <c r="AF231" s="477"/>
      <c r="AG231" s="362"/>
      <c r="AH231" s="363"/>
      <c r="AI231" s="364"/>
      <c r="AJ231" s="365"/>
      <c r="AK231" s="366"/>
      <c r="AL231" s="367"/>
      <c r="AM231" s="478"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79"/>
      <c r="AO231" s="466" t="str">
        <f>IF(K230&lt;&gt;"","P列・R列に色付け","")</f>
        <v/>
      </c>
      <c r="AX231" s="452" t="str">
        <f>G230</f>
        <v/>
      </c>
    </row>
    <row r="232" spans="1:50" ht="32.1" customHeight="1" thickBot="1">
      <c r="A232" s="1268"/>
      <c r="B232" s="1205"/>
      <c r="C232" s="1205"/>
      <c r="D232" s="1205"/>
      <c r="E232" s="1205"/>
      <c r="F232" s="1205"/>
      <c r="G232" s="1208"/>
      <c r="H232" s="1208"/>
      <c r="I232" s="1208"/>
      <c r="J232" s="1208"/>
      <c r="K232" s="1208"/>
      <c r="L232" s="1211"/>
      <c r="M232" s="480" t="s">
        <v>114</v>
      </c>
      <c r="N232" s="79"/>
      <c r="O232" s="481" t="str">
        <f>IFERROR(VLOOKUP(K230,【参考】数式用!$A$5:$J$37,MATCH(N232,【参考】数式用!$B$4:$J$4,0)+1,0),"")</f>
        <v/>
      </c>
      <c r="P232" s="77"/>
      <c r="Q232" s="481" t="str">
        <f>IFERROR(VLOOKUP(K230,【参考】数式用!$A$5:$J$37,MATCH(P232,【参考】数式用!$B$4:$J$4,0)+1,0),"")</f>
        <v/>
      </c>
      <c r="R232" s="482" t="s">
        <v>15</v>
      </c>
      <c r="S232" s="483">
        <v>6</v>
      </c>
      <c r="T232" s="484" t="s">
        <v>10</v>
      </c>
      <c r="U232" s="59">
        <v>4</v>
      </c>
      <c r="V232" s="484" t="s">
        <v>38</v>
      </c>
      <c r="W232" s="483">
        <v>6</v>
      </c>
      <c r="X232" s="484" t="s">
        <v>10</v>
      </c>
      <c r="Y232" s="59">
        <v>5</v>
      </c>
      <c r="Z232" s="484" t="s">
        <v>13</v>
      </c>
      <c r="AA232" s="485" t="s">
        <v>20</v>
      </c>
      <c r="AB232" s="486">
        <f t="shared" si="661"/>
        <v>2</v>
      </c>
      <c r="AC232" s="484" t="s">
        <v>33</v>
      </c>
      <c r="AD232" s="487" t="str">
        <f t="shared" ref="AD232" si="689">IFERROR(ROUNDDOWN(ROUND(L230*Q232,0),0)*AB232,"")</f>
        <v/>
      </c>
      <c r="AE232" s="488" t="str">
        <f t="shared" ref="AE232" si="690">IFERROR(ROUNDDOWN(ROUND(L230*(Q232-O232),0),0)*AB232,"")</f>
        <v/>
      </c>
      <c r="AF232" s="489">
        <f t="shared" si="554"/>
        <v>0</v>
      </c>
      <c r="AG232" s="368"/>
      <c r="AH232" s="369"/>
      <c r="AI232" s="370"/>
      <c r="AJ232" s="371"/>
      <c r="AK232" s="372"/>
      <c r="AL232" s="373"/>
      <c r="AM232" s="490"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1" t="str">
        <f>IF(K230&lt;&gt;"","P列・R列に色付け","")</f>
        <v/>
      </c>
      <c r="AP232" s="492"/>
      <c r="AQ232" s="492"/>
      <c r="AW232" s="493"/>
      <c r="AX232" s="452" t="str">
        <f>G230</f>
        <v/>
      </c>
    </row>
    <row r="233" spans="1:50" ht="32.1" customHeight="1">
      <c r="A233" s="1266">
        <v>74</v>
      </c>
      <c r="B233" s="1203" t="str">
        <f>IF(基本情報入力シート!C127="","",基本情報入力シート!C127)</f>
        <v/>
      </c>
      <c r="C233" s="1203"/>
      <c r="D233" s="1203"/>
      <c r="E233" s="1203"/>
      <c r="F233" s="1203"/>
      <c r="G233" s="1206" t="str">
        <f>IF(基本情報入力シート!M127="","",基本情報入力シート!M127)</f>
        <v/>
      </c>
      <c r="H233" s="1206" t="str">
        <f>IF(基本情報入力シート!R127="","",基本情報入力シート!R127)</f>
        <v/>
      </c>
      <c r="I233" s="1206" t="str">
        <f>IF(基本情報入力シート!W127="","",基本情報入力シート!W127)</f>
        <v/>
      </c>
      <c r="J233" s="1206" t="str">
        <f>IF(基本情報入力シート!X127="","",基本情報入力シート!X127)</f>
        <v/>
      </c>
      <c r="K233" s="1206" t="str">
        <f>IF(基本情報入力シート!Y127="","",基本情報入力シート!Y127)</f>
        <v/>
      </c>
      <c r="L233" s="1209" t="str">
        <f>IF(基本情報入力シート!AB127="","",基本情報入力シート!AB127)</f>
        <v/>
      </c>
      <c r="M233" s="456" t="s">
        <v>132</v>
      </c>
      <c r="N233" s="75"/>
      <c r="O233" s="457" t="str">
        <f>IFERROR(VLOOKUP(K233,【参考】数式用!$A$5:$J$37,MATCH(N233,【参考】数式用!$B$4:$J$4,0)+1,0),"")</f>
        <v/>
      </c>
      <c r="P233" s="75"/>
      <c r="Q233" s="457" t="str">
        <f>IFERROR(VLOOKUP(K233,【参考】数式用!$A$5:$J$37,MATCH(P233,【参考】数式用!$B$4:$J$4,0)+1,0),"")</f>
        <v/>
      </c>
      <c r="R233" s="458" t="s">
        <v>15</v>
      </c>
      <c r="S233" s="459">
        <v>6</v>
      </c>
      <c r="T233" s="125" t="s">
        <v>10</v>
      </c>
      <c r="U233" s="39">
        <v>4</v>
      </c>
      <c r="V233" s="125" t="s">
        <v>38</v>
      </c>
      <c r="W233" s="459">
        <v>6</v>
      </c>
      <c r="X233" s="125" t="s">
        <v>10</v>
      </c>
      <c r="Y233" s="39">
        <v>5</v>
      </c>
      <c r="Z233" s="125" t="s">
        <v>13</v>
      </c>
      <c r="AA233" s="460" t="s">
        <v>20</v>
      </c>
      <c r="AB233" s="461">
        <f t="shared" si="661"/>
        <v>2</v>
      </c>
      <c r="AC233" s="125" t="s">
        <v>33</v>
      </c>
      <c r="AD233" s="462" t="str">
        <f t="shared" ref="AD233" si="692">IFERROR(ROUNDDOWN(ROUND(L233*Q233,0),0)*AB233,"")</f>
        <v/>
      </c>
      <c r="AE233" s="463" t="str">
        <f t="shared" si="496"/>
        <v/>
      </c>
      <c r="AF233" s="464"/>
      <c r="AG233" s="374"/>
      <c r="AH233" s="382"/>
      <c r="AI233" s="379"/>
      <c r="AJ233" s="380"/>
      <c r="AK233" s="360"/>
      <c r="AL233" s="361"/>
      <c r="AM233" s="465" t="str">
        <f t="shared" ref="AM233" si="693">IF(AO233="","",IF(Q233&lt;O233,"！加算の要件上は問題ありませんが、令和６年３月と比較して４・５月に加算率が下がる計画になっています。",""))</f>
        <v/>
      </c>
      <c r="AO233" s="466" t="str">
        <f>IF(K233&lt;&gt;"","P列・R列に色付け","")</f>
        <v/>
      </c>
      <c r="AP233" s="467" t="str">
        <f>IFERROR(VLOOKUP(K233,【参考】数式用!$AH$2:$AI$34,2,FALSE),"")</f>
        <v/>
      </c>
      <c r="AQ233" s="469" t="str">
        <f>P233&amp;P234&amp;P235</f>
        <v/>
      </c>
      <c r="AR233" s="467" t="str">
        <f t="shared" ref="AR233" si="694">IF(AF235&lt;&gt;0,IF(AG235="○","入力済","未入力"),"")</f>
        <v/>
      </c>
      <c r="AS233" s="468" t="str">
        <f>IF(OR(P233="処遇加算Ⅰ",P233="処遇加算Ⅱ"),IF(OR(AH233="○",AH233="令和６年度中に満たす"),"入力済","未入力"),"")</f>
        <v/>
      </c>
      <c r="AT233" s="469" t="str">
        <f>IF(P233="処遇加算Ⅲ",IF(AI233="○","入力済","未入力"),"")</f>
        <v/>
      </c>
      <c r="AU233" s="467" t="str">
        <f>IF(P233="処遇加算Ⅰ",IF(OR(AJ233="○",AJ233="令和６年度中に満たす"),"入力済","未入力"),"")</f>
        <v/>
      </c>
      <c r="AV233" s="467" t="str">
        <f t="shared" ref="AV233" si="695">IF(OR(P234="特定加算Ⅰ",P234="特定加算Ⅱ"),1,"")</f>
        <v/>
      </c>
      <c r="AW233" s="452" t="str">
        <f>IF(P234="特定加算Ⅰ",IF(AL234="","未入力","入力済"),"")</f>
        <v/>
      </c>
      <c r="AX233" s="452" t="str">
        <f>G233</f>
        <v/>
      </c>
    </row>
    <row r="234" spans="1:50" ht="32.1" customHeight="1">
      <c r="A234" s="1267"/>
      <c r="B234" s="1204"/>
      <c r="C234" s="1204"/>
      <c r="D234" s="1204"/>
      <c r="E234" s="1204"/>
      <c r="F234" s="1204"/>
      <c r="G234" s="1207"/>
      <c r="H234" s="1207"/>
      <c r="I234" s="1207"/>
      <c r="J234" s="1207"/>
      <c r="K234" s="1207"/>
      <c r="L234" s="1210"/>
      <c r="M234" s="470" t="s">
        <v>121</v>
      </c>
      <c r="N234" s="76"/>
      <c r="O234" s="471" t="str">
        <f>IFERROR(VLOOKUP(K233,【参考】数式用!$A$5:$J$37,MATCH(N234,【参考】数式用!$B$4:$J$4,0)+1,0),"")</f>
        <v/>
      </c>
      <c r="P234" s="76"/>
      <c r="Q234" s="471" t="str">
        <f>IFERROR(VLOOKUP(K233,【参考】数式用!$A$5:$J$37,MATCH(P234,【参考】数式用!$B$4:$J$4,0)+1,0),"")</f>
        <v/>
      </c>
      <c r="R234" s="96" t="s">
        <v>15</v>
      </c>
      <c r="S234" s="472">
        <v>6</v>
      </c>
      <c r="T234" s="97" t="s">
        <v>10</v>
      </c>
      <c r="U234" s="58">
        <v>4</v>
      </c>
      <c r="V234" s="97" t="s">
        <v>38</v>
      </c>
      <c r="W234" s="472">
        <v>6</v>
      </c>
      <c r="X234" s="97" t="s">
        <v>10</v>
      </c>
      <c r="Y234" s="58">
        <v>5</v>
      </c>
      <c r="Z234" s="97" t="s">
        <v>13</v>
      </c>
      <c r="AA234" s="473" t="s">
        <v>20</v>
      </c>
      <c r="AB234" s="474">
        <f t="shared" si="661"/>
        <v>2</v>
      </c>
      <c r="AC234" s="97" t="s">
        <v>33</v>
      </c>
      <c r="AD234" s="475" t="str">
        <f t="shared" ref="AD234" si="696">IFERROR(ROUNDDOWN(ROUND(L233*Q234,0),0)*AB234,"")</f>
        <v/>
      </c>
      <c r="AE234" s="476" t="str">
        <f t="shared" si="501"/>
        <v/>
      </c>
      <c r="AF234" s="477"/>
      <c r="AG234" s="362"/>
      <c r="AH234" s="363"/>
      <c r="AI234" s="364"/>
      <c r="AJ234" s="365"/>
      <c r="AK234" s="366"/>
      <c r="AL234" s="367"/>
      <c r="AM234" s="478"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79"/>
      <c r="AO234" s="466" t="str">
        <f>IF(K233&lt;&gt;"","P列・R列に色付け","")</f>
        <v/>
      </c>
      <c r="AX234" s="452" t="str">
        <f>G233</f>
        <v/>
      </c>
    </row>
    <row r="235" spans="1:50" ht="32.1" customHeight="1" thickBot="1">
      <c r="A235" s="1268"/>
      <c r="B235" s="1205"/>
      <c r="C235" s="1205"/>
      <c r="D235" s="1205"/>
      <c r="E235" s="1205"/>
      <c r="F235" s="1205"/>
      <c r="G235" s="1208"/>
      <c r="H235" s="1208"/>
      <c r="I235" s="1208"/>
      <c r="J235" s="1208"/>
      <c r="K235" s="1208"/>
      <c r="L235" s="1211"/>
      <c r="M235" s="480" t="s">
        <v>114</v>
      </c>
      <c r="N235" s="79"/>
      <c r="O235" s="481" t="str">
        <f>IFERROR(VLOOKUP(K233,【参考】数式用!$A$5:$J$37,MATCH(N235,【参考】数式用!$B$4:$J$4,0)+1,0),"")</f>
        <v/>
      </c>
      <c r="P235" s="77"/>
      <c r="Q235" s="481" t="str">
        <f>IFERROR(VLOOKUP(K233,【参考】数式用!$A$5:$J$37,MATCH(P235,【参考】数式用!$B$4:$J$4,0)+1,0),"")</f>
        <v/>
      </c>
      <c r="R235" s="482" t="s">
        <v>15</v>
      </c>
      <c r="S235" s="483">
        <v>6</v>
      </c>
      <c r="T235" s="484" t="s">
        <v>10</v>
      </c>
      <c r="U235" s="59">
        <v>4</v>
      </c>
      <c r="V235" s="484" t="s">
        <v>38</v>
      </c>
      <c r="W235" s="483">
        <v>6</v>
      </c>
      <c r="X235" s="484" t="s">
        <v>10</v>
      </c>
      <c r="Y235" s="59">
        <v>5</v>
      </c>
      <c r="Z235" s="484" t="s">
        <v>13</v>
      </c>
      <c r="AA235" s="485" t="s">
        <v>20</v>
      </c>
      <c r="AB235" s="486">
        <f t="shared" si="661"/>
        <v>2</v>
      </c>
      <c r="AC235" s="484" t="s">
        <v>33</v>
      </c>
      <c r="AD235" s="487" t="str">
        <f t="shared" ref="AD235" si="698">IFERROR(ROUNDDOWN(ROUND(L233*Q235,0),0)*AB235,"")</f>
        <v/>
      </c>
      <c r="AE235" s="488" t="str">
        <f t="shared" si="504"/>
        <v/>
      </c>
      <c r="AF235" s="489">
        <f t="shared" si="554"/>
        <v>0</v>
      </c>
      <c r="AG235" s="368"/>
      <c r="AH235" s="369"/>
      <c r="AI235" s="370"/>
      <c r="AJ235" s="371"/>
      <c r="AK235" s="372"/>
      <c r="AL235" s="373"/>
      <c r="AM235" s="490"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1" t="str">
        <f>IF(K233&lt;&gt;"","P列・R列に色付け","")</f>
        <v/>
      </c>
      <c r="AP235" s="492"/>
      <c r="AQ235" s="492"/>
      <c r="AW235" s="493"/>
      <c r="AX235" s="452" t="str">
        <f>G233</f>
        <v/>
      </c>
    </row>
    <row r="236" spans="1:50" ht="32.1" customHeight="1">
      <c r="A236" s="1266">
        <v>75</v>
      </c>
      <c r="B236" s="1203" t="str">
        <f>IF(基本情報入力シート!C128="","",基本情報入力シート!C128)</f>
        <v/>
      </c>
      <c r="C236" s="1203"/>
      <c r="D236" s="1203"/>
      <c r="E236" s="1203"/>
      <c r="F236" s="1203"/>
      <c r="G236" s="1206" t="str">
        <f>IF(基本情報入力シート!M128="","",基本情報入力シート!M128)</f>
        <v/>
      </c>
      <c r="H236" s="1206" t="str">
        <f>IF(基本情報入力シート!R128="","",基本情報入力シート!R128)</f>
        <v/>
      </c>
      <c r="I236" s="1206" t="str">
        <f>IF(基本情報入力シート!W128="","",基本情報入力シート!W128)</f>
        <v/>
      </c>
      <c r="J236" s="1206" t="str">
        <f>IF(基本情報入力シート!X128="","",基本情報入力シート!X128)</f>
        <v/>
      </c>
      <c r="K236" s="1206" t="str">
        <f>IF(基本情報入力シート!Y128="","",基本情報入力シート!Y128)</f>
        <v/>
      </c>
      <c r="L236" s="1209" t="str">
        <f>IF(基本情報入力シート!AB128="","",基本情報入力シート!AB128)</f>
        <v/>
      </c>
      <c r="M236" s="456" t="s">
        <v>132</v>
      </c>
      <c r="N236" s="75"/>
      <c r="O236" s="457" t="str">
        <f>IFERROR(VLOOKUP(K236,【参考】数式用!$A$5:$J$37,MATCH(N236,【参考】数式用!$B$4:$J$4,0)+1,0),"")</f>
        <v/>
      </c>
      <c r="P236" s="75"/>
      <c r="Q236" s="457" t="str">
        <f>IFERROR(VLOOKUP(K236,【参考】数式用!$A$5:$J$37,MATCH(P236,【参考】数式用!$B$4:$J$4,0)+1,0),"")</f>
        <v/>
      </c>
      <c r="R236" s="458" t="s">
        <v>15</v>
      </c>
      <c r="S236" s="459">
        <v>6</v>
      </c>
      <c r="T236" s="125" t="s">
        <v>10</v>
      </c>
      <c r="U236" s="39">
        <v>4</v>
      </c>
      <c r="V236" s="125" t="s">
        <v>38</v>
      </c>
      <c r="W236" s="459">
        <v>6</v>
      </c>
      <c r="X236" s="125" t="s">
        <v>10</v>
      </c>
      <c r="Y236" s="39">
        <v>5</v>
      </c>
      <c r="Z236" s="125" t="s">
        <v>13</v>
      </c>
      <c r="AA236" s="460" t="s">
        <v>20</v>
      </c>
      <c r="AB236" s="461">
        <f t="shared" si="661"/>
        <v>2</v>
      </c>
      <c r="AC236" s="125" t="s">
        <v>33</v>
      </c>
      <c r="AD236" s="462" t="str">
        <f t="shared" ref="AD236" si="700">IFERROR(ROUNDDOWN(ROUND(L236*Q236,0),0)*AB236,"")</f>
        <v/>
      </c>
      <c r="AE236" s="463" t="str">
        <f t="shared" si="507"/>
        <v/>
      </c>
      <c r="AF236" s="464"/>
      <c r="AG236" s="374"/>
      <c r="AH236" s="382"/>
      <c r="AI236" s="379"/>
      <c r="AJ236" s="380"/>
      <c r="AK236" s="360"/>
      <c r="AL236" s="361"/>
      <c r="AM236" s="465" t="str">
        <f t="shared" ref="AM236" si="701">IF(AO236="","",IF(Q236&lt;O236,"！加算の要件上は問題ありませんが、令和６年３月と比較して４・５月に加算率が下がる計画になっています。",""))</f>
        <v/>
      </c>
      <c r="AO236" s="466" t="str">
        <f>IF(K236&lt;&gt;"","P列・R列に色付け","")</f>
        <v/>
      </c>
      <c r="AP236" s="467" t="str">
        <f>IFERROR(VLOOKUP(K236,【参考】数式用!$AH$2:$AI$34,2,FALSE),"")</f>
        <v/>
      </c>
      <c r="AQ236" s="469" t="str">
        <f>P236&amp;P237&amp;P238</f>
        <v/>
      </c>
      <c r="AR236" s="467" t="str">
        <f t="shared" ref="AR236" si="702">IF(AF238&lt;&gt;0,IF(AG238="○","入力済","未入力"),"")</f>
        <v/>
      </c>
      <c r="AS236" s="468" t="str">
        <f>IF(OR(P236="処遇加算Ⅰ",P236="処遇加算Ⅱ"),IF(OR(AH236="○",AH236="令和６年度中に満たす"),"入力済","未入力"),"")</f>
        <v/>
      </c>
      <c r="AT236" s="469" t="str">
        <f>IF(P236="処遇加算Ⅲ",IF(AI236="○","入力済","未入力"),"")</f>
        <v/>
      </c>
      <c r="AU236" s="467" t="str">
        <f>IF(P236="処遇加算Ⅰ",IF(OR(AJ236="○",AJ236="令和６年度中に満たす"),"入力済","未入力"),"")</f>
        <v/>
      </c>
      <c r="AV236" s="467" t="str">
        <f t="shared" ref="AV236" si="703">IF(OR(P237="特定加算Ⅰ",P237="特定加算Ⅱ"),1,"")</f>
        <v/>
      </c>
      <c r="AW236" s="452" t="str">
        <f>IF(P237="特定加算Ⅰ",IF(AL237="","未入力","入力済"),"")</f>
        <v/>
      </c>
      <c r="AX236" s="452" t="str">
        <f>G236</f>
        <v/>
      </c>
    </row>
    <row r="237" spans="1:50" ht="32.1" customHeight="1">
      <c r="A237" s="1267"/>
      <c r="B237" s="1204"/>
      <c r="C237" s="1204"/>
      <c r="D237" s="1204"/>
      <c r="E237" s="1204"/>
      <c r="F237" s="1204"/>
      <c r="G237" s="1207"/>
      <c r="H237" s="1207"/>
      <c r="I237" s="1207"/>
      <c r="J237" s="1207"/>
      <c r="K237" s="1207"/>
      <c r="L237" s="1210"/>
      <c r="M237" s="470" t="s">
        <v>121</v>
      </c>
      <c r="N237" s="76"/>
      <c r="O237" s="471" t="str">
        <f>IFERROR(VLOOKUP(K236,【参考】数式用!$A$5:$J$37,MATCH(N237,【参考】数式用!$B$4:$J$4,0)+1,0),"")</f>
        <v/>
      </c>
      <c r="P237" s="76"/>
      <c r="Q237" s="471" t="str">
        <f>IFERROR(VLOOKUP(K236,【参考】数式用!$A$5:$J$37,MATCH(P237,【参考】数式用!$B$4:$J$4,0)+1,0),"")</f>
        <v/>
      </c>
      <c r="R237" s="96" t="s">
        <v>15</v>
      </c>
      <c r="S237" s="472">
        <v>6</v>
      </c>
      <c r="T237" s="97" t="s">
        <v>10</v>
      </c>
      <c r="U237" s="58">
        <v>4</v>
      </c>
      <c r="V237" s="97" t="s">
        <v>38</v>
      </c>
      <c r="W237" s="472">
        <v>6</v>
      </c>
      <c r="X237" s="97" t="s">
        <v>10</v>
      </c>
      <c r="Y237" s="58">
        <v>5</v>
      </c>
      <c r="Z237" s="97" t="s">
        <v>13</v>
      </c>
      <c r="AA237" s="473" t="s">
        <v>20</v>
      </c>
      <c r="AB237" s="474">
        <f t="shared" si="661"/>
        <v>2</v>
      </c>
      <c r="AC237" s="97" t="s">
        <v>33</v>
      </c>
      <c r="AD237" s="475" t="str">
        <f t="shared" ref="AD237" si="704">IFERROR(ROUNDDOWN(ROUND(L236*Q237,0),0)*AB237,"")</f>
        <v/>
      </c>
      <c r="AE237" s="476" t="str">
        <f t="shared" si="512"/>
        <v/>
      </c>
      <c r="AF237" s="477"/>
      <c r="AG237" s="362"/>
      <c r="AH237" s="363"/>
      <c r="AI237" s="364"/>
      <c r="AJ237" s="365"/>
      <c r="AK237" s="366"/>
      <c r="AL237" s="367"/>
      <c r="AM237" s="478"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79"/>
      <c r="AO237" s="466" t="str">
        <f>IF(K236&lt;&gt;"","P列・R列に色付け","")</f>
        <v/>
      </c>
      <c r="AX237" s="452" t="str">
        <f>G236</f>
        <v/>
      </c>
    </row>
    <row r="238" spans="1:50" ht="32.1" customHeight="1" thickBot="1">
      <c r="A238" s="1268"/>
      <c r="B238" s="1205"/>
      <c r="C238" s="1205"/>
      <c r="D238" s="1205"/>
      <c r="E238" s="1205"/>
      <c r="F238" s="1205"/>
      <c r="G238" s="1208"/>
      <c r="H238" s="1208"/>
      <c r="I238" s="1208"/>
      <c r="J238" s="1208"/>
      <c r="K238" s="1208"/>
      <c r="L238" s="1211"/>
      <c r="M238" s="480" t="s">
        <v>114</v>
      </c>
      <c r="N238" s="79"/>
      <c r="O238" s="481" t="str">
        <f>IFERROR(VLOOKUP(K236,【参考】数式用!$A$5:$J$37,MATCH(N238,【参考】数式用!$B$4:$J$4,0)+1,0),"")</f>
        <v/>
      </c>
      <c r="P238" s="77"/>
      <c r="Q238" s="481" t="str">
        <f>IFERROR(VLOOKUP(K236,【参考】数式用!$A$5:$J$37,MATCH(P238,【参考】数式用!$B$4:$J$4,0)+1,0),"")</f>
        <v/>
      </c>
      <c r="R238" s="482" t="s">
        <v>15</v>
      </c>
      <c r="S238" s="483">
        <v>6</v>
      </c>
      <c r="T238" s="484" t="s">
        <v>10</v>
      </c>
      <c r="U238" s="59">
        <v>4</v>
      </c>
      <c r="V238" s="484" t="s">
        <v>38</v>
      </c>
      <c r="W238" s="483">
        <v>6</v>
      </c>
      <c r="X238" s="484" t="s">
        <v>10</v>
      </c>
      <c r="Y238" s="59">
        <v>5</v>
      </c>
      <c r="Z238" s="484" t="s">
        <v>13</v>
      </c>
      <c r="AA238" s="485" t="s">
        <v>20</v>
      </c>
      <c r="AB238" s="486">
        <f t="shared" si="661"/>
        <v>2</v>
      </c>
      <c r="AC238" s="484" t="s">
        <v>33</v>
      </c>
      <c r="AD238" s="487" t="str">
        <f t="shared" ref="AD238" si="706">IFERROR(ROUNDDOWN(ROUND(L236*Q238,0),0)*AB238,"")</f>
        <v/>
      </c>
      <c r="AE238" s="488" t="str">
        <f t="shared" si="515"/>
        <v/>
      </c>
      <c r="AF238" s="489">
        <f t="shared" si="554"/>
        <v>0</v>
      </c>
      <c r="AG238" s="368"/>
      <c r="AH238" s="369"/>
      <c r="AI238" s="370"/>
      <c r="AJ238" s="371"/>
      <c r="AK238" s="372"/>
      <c r="AL238" s="373"/>
      <c r="AM238" s="490"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1" t="str">
        <f>IF(K236&lt;&gt;"","P列・R列に色付け","")</f>
        <v/>
      </c>
      <c r="AP238" s="492"/>
      <c r="AQ238" s="492"/>
      <c r="AW238" s="493"/>
      <c r="AX238" s="452" t="str">
        <f>G236</f>
        <v/>
      </c>
    </row>
    <row r="239" spans="1:50" ht="32.1" customHeight="1">
      <c r="A239" s="1266">
        <v>76</v>
      </c>
      <c r="B239" s="1203" t="str">
        <f>IF(基本情報入力シート!C129="","",基本情報入力シート!C129)</f>
        <v/>
      </c>
      <c r="C239" s="1203"/>
      <c r="D239" s="1203"/>
      <c r="E239" s="1203"/>
      <c r="F239" s="1203"/>
      <c r="G239" s="1206" t="str">
        <f>IF(基本情報入力シート!M129="","",基本情報入力シート!M129)</f>
        <v/>
      </c>
      <c r="H239" s="1206" t="str">
        <f>IF(基本情報入力シート!R129="","",基本情報入力シート!R129)</f>
        <v/>
      </c>
      <c r="I239" s="1206" t="str">
        <f>IF(基本情報入力シート!W129="","",基本情報入力シート!W129)</f>
        <v/>
      </c>
      <c r="J239" s="1206" t="str">
        <f>IF(基本情報入力シート!X129="","",基本情報入力シート!X129)</f>
        <v/>
      </c>
      <c r="K239" s="1206" t="str">
        <f>IF(基本情報入力シート!Y129="","",基本情報入力シート!Y129)</f>
        <v/>
      </c>
      <c r="L239" s="1209" t="str">
        <f>IF(基本情報入力シート!AB129="","",基本情報入力シート!AB129)</f>
        <v/>
      </c>
      <c r="M239" s="456" t="s">
        <v>132</v>
      </c>
      <c r="N239" s="75"/>
      <c r="O239" s="457" t="str">
        <f>IFERROR(VLOOKUP(K239,【参考】数式用!$A$5:$J$37,MATCH(N239,【参考】数式用!$B$4:$J$4,0)+1,0),"")</f>
        <v/>
      </c>
      <c r="P239" s="75"/>
      <c r="Q239" s="457" t="str">
        <f>IFERROR(VLOOKUP(K239,【参考】数式用!$A$5:$J$37,MATCH(P239,【参考】数式用!$B$4:$J$4,0)+1,0),"")</f>
        <v/>
      </c>
      <c r="R239" s="458" t="s">
        <v>15</v>
      </c>
      <c r="S239" s="459">
        <v>6</v>
      </c>
      <c r="T239" s="125" t="s">
        <v>10</v>
      </c>
      <c r="U239" s="39">
        <v>4</v>
      </c>
      <c r="V239" s="125" t="s">
        <v>38</v>
      </c>
      <c r="W239" s="459">
        <v>6</v>
      </c>
      <c r="X239" s="125" t="s">
        <v>10</v>
      </c>
      <c r="Y239" s="39">
        <v>5</v>
      </c>
      <c r="Z239" s="125" t="s">
        <v>13</v>
      </c>
      <c r="AA239" s="460" t="s">
        <v>20</v>
      </c>
      <c r="AB239" s="461">
        <f t="shared" si="661"/>
        <v>2</v>
      </c>
      <c r="AC239" s="125" t="s">
        <v>33</v>
      </c>
      <c r="AD239" s="462" t="str">
        <f t="shared" ref="AD239" si="708">IFERROR(ROUNDDOWN(ROUND(L239*Q239,0),0)*AB239,"")</f>
        <v/>
      </c>
      <c r="AE239" s="463" t="str">
        <f t="shared" ref="AE239" si="709">IFERROR(ROUNDDOWN(ROUND(L239*(Q239-O239),0),0)*AB239,"")</f>
        <v/>
      </c>
      <c r="AF239" s="464"/>
      <c r="AG239" s="374"/>
      <c r="AH239" s="382"/>
      <c r="AI239" s="379"/>
      <c r="AJ239" s="380"/>
      <c r="AK239" s="360"/>
      <c r="AL239" s="361"/>
      <c r="AM239" s="465" t="str">
        <f t="shared" ref="AM239" si="710">IF(AO239="","",IF(Q239&lt;O239,"！加算の要件上は問題ありませんが、令和６年３月と比較して４・５月に加算率が下がる計画になっています。",""))</f>
        <v/>
      </c>
      <c r="AO239" s="466" t="str">
        <f>IF(K239&lt;&gt;"","P列・R列に色付け","")</f>
        <v/>
      </c>
      <c r="AP239" s="467" t="str">
        <f>IFERROR(VLOOKUP(K239,【参考】数式用!$AH$2:$AI$34,2,FALSE),"")</f>
        <v/>
      </c>
      <c r="AQ239" s="469" t="str">
        <f>P239&amp;P240&amp;P241</f>
        <v/>
      </c>
      <c r="AR239" s="467" t="str">
        <f t="shared" ref="AR239" si="711">IF(AF241&lt;&gt;0,IF(AG241="○","入力済","未入力"),"")</f>
        <v/>
      </c>
      <c r="AS239" s="468" t="str">
        <f>IF(OR(P239="処遇加算Ⅰ",P239="処遇加算Ⅱ"),IF(OR(AH239="○",AH239="令和６年度中に満たす"),"入力済","未入力"),"")</f>
        <v/>
      </c>
      <c r="AT239" s="469" t="str">
        <f>IF(P239="処遇加算Ⅲ",IF(AI239="○","入力済","未入力"),"")</f>
        <v/>
      </c>
      <c r="AU239" s="467" t="str">
        <f>IF(P239="処遇加算Ⅰ",IF(OR(AJ239="○",AJ239="令和６年度中に満たす"),"入力済","未入力"),"")</f>
        <v/>
      </c>
      <c r="AV239" s="467" t="str">
        <f t="shared" ref="AV239" si="712">IF(OR(P240="特定加算Ⅰ",P240="特定加算Ⅱ"),1,"")</f>
        <v/>
      </c>
      <c r="AW239" s="452" t="str">
        <f>IF(P240="特定加算Ⅰ",IF(AL240="","未入力","入力済"),"")</f>
        <v/>
      </c>
      <c r="AX239" s="452" t="str">
        <f>G239</f>
        <v/>
      </c>
    </row>
    <row r="240" spans="1:50" ht="32.1" customHeight="1">
      <c r="A240" s="1267"/>
      <c r="B240" s="1204"/>
      <c r="C240" s="1204"/>
      <c r="D240" s="1204"/>
      <c r="E240" s="1204"/>
      <c r="F240" s="1204"/>
      <c r="G240" s="1207"/>
      <c r="H240" s="1207"/>
      <c r="I240" s="1207"/>
      <c r="J240" s="1207"/>
      <c r="K240" s="1207"/>
      <c r="L240" s="1210"/>
      <c r="M240" s="470" t="s">
        <v>121</v>
      </c>
      <c r="N240" s="76"/>
      <c r="O240" s="471" t="str">
        <f>IFERROR(VLOOKUP(K239,【参考】数式用!$A$5:$J$37,MATCH(N240,【参考】数式用!$B$4:$J$4,0)+1,0),"")</f>
        <v/>
      </c>
      <c r="P240" s="76"/>
      <c r="Q240" s="471" t="str">
        <f>IFERROR(VLOOKUP(K239,【参考】数式用!$A$5:$J$37,MATCH(P240,【参考】数式用!$B$4:$J$4,0)+1,0),"")</f>
        <v/>
      </c>
      <c r="R240" s="96" t="s">
        <v>15</v>
      </c>
      <c r="S240" s="472">
        <v>6</v>
      </c>
      <c r="T240" s="97" t="s">
        <v>10</v>
      </c>
      <c r="U240" s="58">
        <v>4</v>
      </c>
      <c r="V240" s="97" t="s">
        <v>38</v>
      </c>
      <c r="W240" s="472">
        <v>6</v>
      </c>
      <c r="X240" s="97" t="s">
        <v>10</v>
      </c>
      <c r="Y240" s="58">
        <v>5</v>
      </c>
      <c r="Z240" s="97" t="s">
        <v>13</v>
      </c>
      <c r="AA240" s="473" t="s">
        <v>20</v>
      </c>
      <c r="AB240" s="474">
        <f t="shared" si="661"/>
        <v>2</v>
      </c>
      <c r="AC240" s="97" t="s">
        <v>33</v>
      </c>
      <c r="AD240" s="475" t="str">
        <f t="shared" ref="AD240" si="713">IFERROR(ROUNDDOWN(ROUND(L239*Q240,0),0)*AB240,"")</f>
        <v/>
      </c>
      <c r="AE240" s="476" t="str">
        <f t="shared" ref="AE240" si="714">IFERROR(ROUNDDOWN(ROUND(L239*(Q240-O240),0),0)*AB240,"")</f>
        <v/>
      </c>
      <c r="AF240" s="477"/>
      <c r="AG240" s="362"/>
      <c r="AH240" s="363"/>
      <c r="AI240" s="364"/>
      <c r="AJ240" s="365"/>
      <c r="AK240" s="366"/>
      <c r="AL240" s="367"/>
      <c r="AM240" s="478"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79"/>
      <c r="AO240" s="466" t="str">
        <f>IF(K239&lt;&gt;"","P列・R列に色付け","")</f>
        <v/>
      </c>
      <c r="AX240" s="452" t="str">
        <f>G239</f>
        <v/>
      </c>
    </row>
    <row r="241" spans="1:50" ht="32.1" customHeight="1" thickBot="1">
      <c r="A241" s="1268"/>
      <c r="B241" s="1205"/>
      <c r="C241" s="1205"/>
      <c r="D241" s="1205"/>
      <c r="E241" s="1205"/>
      <c r="F241" s="1205"/>
      <c r="G241" s="1208"/>
      <c r="H241" s="1208"/>
      <c r="I241" s="1208"/>
      <c r="J241" s="1208"/>
      <c r="K241" s="1208"/>
      <c r="L241" s="1211"/>
      <c r="M241" s="480" t="s">
        <v>114</v>
      </c>
      <c r="N241" s="79"/>
      <c r="O241" s="481" t="str">
        <f>IFERROR(VLOOKUP(K239,【参考】数式用!$A$5:$J$37,MATCH(N241,【参考】数式用!$B$4:$J$4,0)+1,0),"")</f>
        <v/>
      </c>
      <c r="P241" s="77"/>
      <c r="Q241" s="481" t="str">
        <f>IFERROR(VLOOKUP(K239,【参考】数式用!$A$5:$J$37,MATCH(P241,【参考】数式用!$B$4:$J$4,0)+1,0),"")</f>
        <v/>
      </c>
      <c r="R241" s="482" t="s">
        <v>15</v>
      </c>
      <c r="S241" s="483">
        <v>6</v>
      </c>
      <c r="T241" s="484" t="s">
        <v>10</v>
      </c>
      <c r="U241" s="59">
        <v>4</v>
      </c>
      <c r="V241" s="484" t="s">
        <v>38</v>
      </c>
      <c r="W241" s="483">
        <v>6</v>
      </c>
      <c r="X241" s="484" t="s">
        <v>10</v>
      </c>
      <c r="Y241" s="59">
        <v>5</v>
      </c>
      <c r="Z241" s="484" t="s">
        <v>13</v>
      </c>
      <c r="AA241" s="485" t="s">
        <v>20</v>
      </c>
      <c r="AB241" s="486">
        <f t="shared" si="661"/>
        <v>2</v>
      </c>
      <c r="AC241" s="484" t="s">
        <v>33</v>
      </c>
      <c r="AD241" s="487" t="str">
        <f t="shared" ref="AD241" si="716">IFERROR(ROUNDDOWN(ROUND(L239*Q241,0),0)*AB241,"")</f>
        <v/>
      </c>
      <c r="AE241" s="488" t="str">
        <f t="shared" ref="AE241" si="717">IFERROR(ROUNDDOWN(ROUND(L239*(Q241-O241),0),0)*AB241,"")</f>
        <v/>
      </c>
      <c r="AF241" s="489">
        <f t="shared" si="554"/>
        <v>0</v>
      </c>
      <c r="AG241" s="368"/>
      <c r="AH241" s="369"/>
      <c r="AI241" s="370"/>
      <c r="AJ241" s="371"/>
      <c r="AK241" s="372"/>
      <c r="AL241" s="373"/>
      <c r="AM241" s="490"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1" t="str">
        <f>IF(K239&lt;&gt;"","P列・R列に色付け","")</f>
        <v/>
      </c>
      <c r="AP241" s="492"/>
      <c r="AQ241" s="492"/>
      <c r="AW241" s="493"/>
      <c r="AX241" s="452" t="str">
        <f>G239</f>
        <v/>
      </c>
    </row>
    <row r="242" spans="1:50" ht="32.1" customHeight="1">
      <c r="A242" s="1266">
        <v>77</v>
      </c>
      <c r="B242" s="1203" t="str">
        <f>IF(基本情報入力シート!C130="","",基本情報入力シート!C130)</f>
        <v/>
      </c>
      <c r="C242" s="1203"/>
      <c r="D242" s="1203"/>
      <c r="E242" s="1203"/>
      <c r="F242" s="1203"/>
      <c r="G242" s="1206" t="str">
        <f>IF(基本情報入力シート!M130="","",基本情報入力シート!M130)</f>
        <v/>
      </c>
      <c r="H242" s="1206" t="str">
        <f>IF(基本情報入力シート!R130="","",基本情報入力シート!R130)</f>
        <v/>
      </c>
      <c r="I242" s="1206" t="str">
        <f>IF(基本情報入力シート!W130="","",基本情報入力シート!W130)</f>
        <v/>
      </c>
      <c r="J242" s="1206" t="str">
        <f>IF(基本情報入力シート!X130="","",基本情報入力シート!X130)</f>
        <v/>
      </c>
      <c r="K242" s="1206" t="str">
        <f>IF(基本情報入力シート!Y130="","",基本情報入力シート!Y130)</f>
        <v/>
      </c>
      <c r="L242" s="1209" t="str">
        <f>IF(基本情報入力シート!AB130="","",基本情報入力シート!AB130)</f>
        <v/>
      </c>
      <c r="M242" s="456" t="s">
        <v>132</v>
      </c>
      <c r="N242" s="75"/>
      <c r="O242" s="457" t="str">
        <f>IFERROR(VLOOKUP(K242,【参考】数式用!$A$5:$J$37,MATCH(N242,【参考】数式用!$B$4:$J$4,0)+1,0),"")</f>
        <v/>
      </c>
      <c r="P242" s="75"/>
      <c r="Q242" s="457" t="str">
        <f>IFERROR(VLOOKUP(K242,【参考】数式用!$A$5:$J$37,MATCH(P242,【参考】数式用!$B$4:$J$4,0)+1,0),"")</f>
        <v/>
      </c>
      <c r="R242" s="458" t="s">
        <v>15</v>
      </c>
      <c r="S242" s="459">
        <v>6</v>
      </c>
      <c r="T242" s="125" t="s">
        <v>10</v>
      </c>
      <c r="U242" s="39">
        <v>4</v>
      </c>
      <c r="V242" s="125" t="s">
        <v>38</v>
      </c>
      <c r="W242" s="459">
        <v>6</v>
      </c>
      <c r="X242" s="125" t="s">
        <v>10</v>
      </c>
      <c r="Y242" s="39">
        <v>5</v>
      </c>
      <c r="Z242" s="125" t="s">
        <v>13</v>
      </c>
      <c r="AA242" s="460" t="s">
        <v>20</v>
      </c>
      <c r="AB242" s="461">
        <f t="shared" si="661"/>
        <v>2</v>
      </c>
      <c r="AC242" s="125" t="s">
        <v>33</v>
      </c>
      <c r="AD242" s="462" t="str">
        <f t="shared" ref="AD242" si="719">IFERROR(ROUNDDOWN(ROUND(L242*Q242,0),0)*AB242,"")</f>
        <v/>
      </c>
      <c r="AE242" s="463" t="str">
        <f t="shared" ref="AE242:AE305" si="720">IFERROR(ROUNDDOWN(ROUND(L242*(Q242-O242),0),0)*AB242,"")</f>
        <v/>
      </c>
      <c r="AF242" s="464"/>
      <c r="AG242" s="374"/>
      <c r="AH242" s="382"/>
      <c r="AI242" s="379"/>
      <c r="AJ242" s="380"/>
      <c r="AK242" s="360"/>
      <c r="AL242" s="361"/>
      <c r="AM242" s="465" t="str">
        <f t="shared" ref="AM242" si="721">IF(AO242="","",IF(Q242&lt;O242,"！加算の要件上は問題ありませんが、令和６年３月と比較して４・５月に加算率が下がる計画になっています。",""))</f>
        <v/>
      </c>
      <c r="AO242" s="466" t="str">
        <f>IF(K242&lt;&gt;"","P列・R列に色付け","")</f>
        <v/>
      </c>
      <c r="AP242" s="467" t="str">
        <f>IFERROR(VLOOKUP(K242,【参考】数式用!$AH$2:$AI$34,2,FALSE),"")</f>
        <v/>
      </c>
      <c r="AQ242" s="469" t="str">
        <f>P242&amp;P243&amp;P244</f>
        <v/>
      </c>
      <c r="AR242" s="467" t="str">
        <f t="shared" ref="AR242" si="722">IF(AF244&lt;&gt;0,IF(AG244="○","入力済","未入力"),"")</f>
        <v/>
      </c>
      <c r="AS242" s="468" t="str">
        <f>IF(OR(P242="処遇加算Ⅰ",P242="処遇加算Ⅱ"),IF(OR(AH242="○",AH242="令和６年度中に満たす"),"入力済","未入力"),"")</f>
        <v/>
      </c>
      <c r="AT242" s="469" t="str">
        <f>IF(P242="処遇加算Ⅲ",IF(AI242="○","入力済","未入力"),"")</f>
        <v/>
      </c>
      <c r="AU242" s="467" t="str">
        <f>IF(P242="処遇加算Ⅰ",IF(OR(AJ242="○",AJ242="令和６年度中に満たす"),"入力済","未入力"),"")</f>
        <v/>
      </c>
      <c r="AV242" s="467" t="str">
        <f t="shared" ref="AV242" si="723">IF(OR(P243="特定加算Ⅰ",P243="特定加算Ⅱ"),1,"")</f>
        <v/>
      </c>
      <c r="AW242" s="452" t="str">
        <f>IF(P243="特定加算Ⅰ",IF(AL243="","未入力","入力済"),"")</f>
        <v/>
      </c>
      <c r="AX242" s="452" t="str">
        <f>G242</f>
        <v/>
      </c>
    </row>
    <row r="243" spans="1:50" ht="32.1" customHeight="1">
      <c r="A243" s="1267"/>
      <c r="B243" s="1204"/>
      <c r="C243" s="1204"/>
      <c r="D243" s="1204"/>
      <c r="E243" s="1204"/>
      <c r="F243" s="1204"/>
      <c r="G243" s="1207"/>
      <c r="H243" s="1207"/>
      <c r="I243" s="1207"/>
      <c r="J243" s="1207"/>
      <c r="K243" s="1207"/>
      <c r="L243" s="1210"/>
      <c r="M243" s="470" t="s">
        <v>121</v>
      </c>
      <c r="N243" s="76"/>
      <c r="O243" s="471" t="str">
        <f>IFERROR(VLOOKUP(K242,【参考】数式用!$A$5:$J$37,MATCH(N243,【参考】数式用!$B$4:$J$4,0)+1,0),"")</f>
        <v/>
      </c>
      <c r="P243" s="76"/>
      <c r="Q243" s="471" t="str">
        <f>IFERROR(VLOOKUP(K242,【参考】数式用!$A$5:$J$37,MATCH(P243,【参考】数式用!$B$4:$J$4,0)+1,0),"")</f>
        <v/>
      </c>
      <c r="R243" s="96" t="s">
        <v>15</v>
      </c>
      <c r="S243" s="472">
        <v>6</v>
      </c>
      <c r="T243" s="97" t="s">
        <v>10</v>
      </c>
      <c r="U243" s="58">
        <v>4</v>
      </c>
      <c r="V243" s="97" t="s">
        <v>38</v>
      </c>
      <c r="W243" s="472">
        <v>6</v>
      </c>
      <c r="X243" s="97" t="s">
        <v>10</v>
      </c>
      <c r="Y243" s="58">
        <v>5</v>
      </c>
      <c r="Z243" s="97" t="s">
        <v>13</v>
      </c>
      <c r="AA243" s="473" t="s">
        <v>20</v>
      </c>
      <c r="AB243" s="474">
        <f t="shared" si="661"/>
        <v>2</v>
      </c>
      <c r="AC243" s="97" t="s">
        <v>33</v>
      </c>
      <c r="AD243" s="475" t="str">
        <f t="shared" ref="AD243" si="724">IFERROR(ROUNDDOWN(ROUND(L242*Q243,0),0)*AB243,"")</f>
        <v/>
      </c>
      <c r="AE243" s="476" t="str">
        <f t="shared" ref="AE243:AE306" si="725">IFERROR(ROUNDDOWN(ROUND(L242*(Q243-O243),0),0)*AB243,"")</f>
        <v/>
      </c>
      <c r="AF243" s="477"/>
      <c r="AG243" s="362"/>
      <c r="AH243" s="363"/>
      <c r="AI243" s="364"/>
      <c r="AJ243" s="365"/>
      <c r="AK243" s="366"/>
      <c r="AL243" s="367"/>
      <c r="AM243" s="478"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79"/>
      <c r="AO243" s="466" t="str">
        <f>IF(K242&lt;&gt;"","P列・R列に色付け","")</f>
        <v/>
      </c>
      <c r="AX243" s="452" t="str">
        <f>G242</f>
        <v/>
      </c>
    </row>
    <row r="244" spans="1:50" ht="32.1" customHeight="1" thickBot="1">
      <c r="A244" s="1268"/>
      <c r="B244" s="1205"/>
      <c r="C244" s="1205"/>
      <c r="D244" s="1205"/>
      <c r="E244" s="1205"/>
      <c r="F244" s="1205"/>
      <c r="G244" s="1208"/>
      <c r="H244" s="1208"/>
      <c r="I244" s="1208"/>
      <c r="J244" s="1208"/>
      <c r="K244" s="1208"/>
      <c r="L244" s="1211"/>
      <c r="M244" s="480" t="s">
        <v>114</v>
      </c>
      <c r="N244" s="79"/>
      <c r="O244" s="481" t="str">
        <f>IFERROR(VLOOKUP(K242,【参考】数式用!$A$5:$J$37,MATCH(N244,【参考】数式用!$B$4:$J$4,0)+1,0),"")</f>
        <v/>
      </c>
      <c r="P244" s="77"/>
      <c r="Q244" s="481" t="str">
        <f>IFERROR(VLOOKUP(K242,【参考】数式用!$A$5:$J$37,MATCH(P244,【参考】数式用!$B$4:$J$4,0)+1,0),"")</f>
        <v/>
      </c>
      <c r="R244" s="482" t="s">
        <v>15</v>
      </c>
      <c r="S244" s="483">
        <v>6</v>
      </c>
      <c r="T244" s="484" t="s">
        <v>10</v>
      </c>
      <c r="U244" s="59">
        <v>4</v>
      </c>
      <c r="V244" s="484" t="s">
        <v>38</v>
      </c>
      <c r="W244" s="483">
        <v>6</v>
      </c>
      <c r="X244" s="484" t="s">
        <v>10</v>
      </c>
      <c r="Y244" s="59">
        <v>5</v>
      </c>
      <c r="Z244" s="484" t="s">
        <v>13</v>
      </c>
      <c r="AA244" s="485" t="s">
        <v>20</v>
      </c>
      <c r="AB244" s="486">
        <f t="shared" si="661"/>
        <v>2</v>
      </c>
      <c r="AC244" s="484" t="s">
        <v>33</v>
      </c>
      <c r="AD244" s="487" t="str">
        <f t="shared" ref="AD244" si="727">IFERROR(ROUNDDOWN(ROUND(L242*Q244,0),0)*AB244,"")</f>
        <v/>
      </c>
      <c r="AE244" s="488" t="str">
        <f t="shared" ref="AE244:AE307" si="728">IFERROR(ROUNDDOWN(ROUND(L242*(Q244-O244),0),0)*AB244,"")</f>
        <v/>
      </c>
      <c r="AF244" s="489">
        <f t="shared" si="554"/>
        <v>0</v>
      </c>
      <c r="AG244" s="368"/>
      <c r="AH244" s="369"/>
      <c r="AI244" s="370"/>
      <c r="AJ244" s="371"/>
      <c r="AK244" s="372"/>
      <c r="AL244" s="373"/>
      <c r="AM244" s="490"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1" t="str">
        <f>IF(K242&lt;&gt;"","P列・R列に色付け","")</f>
        <v/>
      </c>
      <c r="AP244" s="492"/>
      <c r="AQ244" s="492"/>
      <c r="AW244" s="493"/>
      <c r="AX244" s="452" t="str">
        <f>G242</f>
        <v/>
      </c>
    </row>
    <row r="245" spans="1:50" ht="32.1" customHeight="1">
      <c r="A245" s="1266">
        <v>78</v>
      </c>
      <c r="B245" s="1203" t="str">
        <f>IF(基本情報入力シート!C131="","",基本情報入力シート!C131)</f>
        <v/>
      </c>
      <c r="C245" s="1203"/>
      <c r="D245" s="1203"/>
      <c r="E245" s="1203"/>
      <c r="F245" s="1203"/>
      <c r="G245" s="1206" t="str">
        <f>IF(基本情報入力シート!M131="","",基本情報入力シート!M131)</f>
        <v/>
      </c>
      <c r="H245" s="1206" t="str">
        <f>IF(基本情報入力シート!R131="","",基本情報入力シート!R131)</f>
        <v/>
      </c>
      <c r="I245" s="1206" t="str">
        <f>IF(基本情報入力シート!W131="","",基本情報入力シート!W131)</f>
        <v/>
      </c>
      <c r="J245" s="1206" t="str">
        <f>IF(基本情報入力シート!X131="","",基本情報入力シート!X131)</f>
        <v/>
      </c>
      <c r="K245" s="1206" t="str">
        <f>IF(基本情報入力シート!Y131="","",基本情報入力シート!Y131)</f>
        <v/>
      </c>
      <c r="L245" s="1209" t="str">
        <f>IF(基本情報入力シート!AB131="","",基本情報入力シート!AB131)</f>
        <v/>
      </c>
      <c r="M245" s="456" t="s">
        <v>132</v>
      </c>
      <c r="N245" s="75"/>
      <c r="O245" s="457" t="str">
        <f>IFERROR(VLOOKUP(K245,【参考】数式用!$A$5:$J$37,MATCH(N245,【参考】数式用!$B$4:$J$4,0)+1,0),"")</f>
        <v/>
      </c>
      <c r="P245" s="75"/>
      <c r="Q245" s="457" t="str">
        <f>IFERROR(VLOOKUP(K245,【参考】数式用!$A$5:$J$37,MATCH(P245,【参考】数式用!$B$4:$J$4,0)+1,0),"")</f>
        <v/>
      </c>
      <c r="R245" s="458" t="s">
        <v>15</v>
      </c>
      <c r="S245" s="459">
        <v>6</v>
      </c>
      <c r="T245" s="125" t="s">
        <v>10</v>
      </c>
      <c r="U245" s="39">
        <v>4</v>
      </c>
      <c r="V245" s="125" t="s">
        <v>38</v>
      </c>
      <c r="W245" s="459">
        <v>6</v>
      </c>
      <c r="X245" s="125" t="s">
        <v>10</v>
      </c>
      <c r="Y245" s="39">
        <v>5</v>
      </c>
      <c r="Z245" s="125" t="s">
        <v>13</v>
      </c>
      <c r="AA245" s="460" t="s">
        <v>20</v>
      </c>
      <c r="AB245" s="461">
        <f t="shared" si="661"/>
        <v>2</v>
      </c>
      <c r="AC245" s="125" t="s">
        <v>33</v>
      </c>
      <c r="AD245" s="462" t="str">
        <f t="shared" ref="AD245" si="730">IFERROR(ROUNDDOWN(ROUND(L245*Q245,0),0)*AB245,"")</f>
        <v/>
      </c>
      <c r="AE245" s="463" t="str">
        <f t="shared" ref="AE245:AE299" si="731">IFERROR(ROUNDDOWN(ROUND(L245*(Q245-O245),0),0)*AB245,"")</f>
        <v/>
      </c>
      <c r="AF245" s="464"/>
      <c r="AG245" s="374"/>
      <c r="AH245" s="382"/>
      <c r="AI245" s="379"/>
      <c r="AJ245" s="380"/>
      <c r="AK245" s="360"/>
      <c r="AL245" s="361"/>
      <c r="AM245" s="465" t="str">
        <f t="shared" ref="AM245" si="732">IF(AO245="","",IF(Q245&lt;O245,"！加算の要件上は問題ありませんが、令和６年３月と比較して４・５月に加算率が下がる計画になっています。",""))</f>
        <v/>
      </c>
      <c r="AO245" s="466" t="str">
        <f>IF(K245&lt;&gt;"","P列・R列に色付け","")</f>
        <v/>
      </c>
      <c r="AP245" s="467" t="str">
        <f>IFERROR(VLOOKUP(K245,【参考】数式用!$AH$2:$AI$34,2,FALSE),"")</f>
        <v/>
      </c>
      <c r="AQ245" s="469" t="str">
        <f>P245&amp;P246&amp;P247</f>
        <v/>
      </c>
      <c r="AR245" s="467" t="str">
        <f t="shared" ref="AR245" si="733">IF(AF247&lt;&gt;0,IF(AG247="○","入力済","未入力"),"")</f>
        <v/>
      </c>
      <c r="AS245" s="468" t="str">
        <f>IF(OR(P245="処遇加算Ⅰ",P245="処遇加算Ⅱ"),IF(OR(AH245="○",AH245="令和６年度中に満たす"),"入力済","未入力"),"")</f>
        <v/>
      </c>
      <c r="AT245" s="469" t="str">
        <f>IF(P245="処遇加算Ⅲ",IF(AI245="○","入力済","未入力"),"")</f>
        <v/>
      </c>
      <c r="AU245" s="467" t="str">
        <f>IF(P245="処遇加算Ⅰ",IF(OR(AJ245="○",AJ245="令和６年度中に満たす"),"入力済","未入力"),"")</f>
        <v/>
      </c>
      <c r="AV245" s="467" t="str">
        <f t="shared" ref="AV245" si="734">IF(OR(P246="特定加算Ⅰ",P246="特定加算Ⅱ"),1,"")</f>
        <v/>
      </c>
      <c r="AW245" s="452" t="str">
        <f>IF(P246="特定加算Ⅰ",IF(AL246="","未入力","入力済"),"")</f>
        <v/>
      </c>
      <c r="AX245" s="452" t="str">
        <f>G245</f>
        <v/>
      </c>
    </row>
    <row r="246" spans="1:50" ht="32.1" customHeight="1">
      <c r="A246" s="1267"/>
      <c r="B246" s="1204"/>
      <c r="C246" s="1204"/>
      <c r="D246" s="1204"/>
      <c r="E246" s="1204"/>
      <c r="F246" s="1204"/>
      <c r="G246" s="1207"/>
      <c r="H246" s="1207"/>
      <c r="I246" s="1207"/>
      <c r="J246" s="1207"/>
      <c r="K246" s="1207"/>
      <c r="L246" s="1210"/>
      <c r="M246" s="470" t="s">
        <v>121</v>
      </c>
      <c r="N246" s="76"/>
      <c r="O246" s="471" t="str">
        <f>IFERROR(VLOOKUP(K245,【参考】数式用!$A$5:$J$37,MATCH(N246,【参考】数式用!$B$4:$J$4,0)+1,0),"")</f>
        <v/>
      </c>
      <c r="P246" s="76"/>
      <c r="Q246" s="471" t="str">
        <f>IFERROR(VLOOKUP(K245,【参考】数式用!$A$5:$J$37,MATCH(P246,【参考】数式用!$B$4:$J$4,0)+1,0),"")</f>
        <v/>
      </c>
      <c r="R246" s="96" t="s">
        <v>15</v>
      </c>
      <c r="S246" s="472">
        <v>6</v>
      </c>
      <c r="T246" s="97" t="s">
        <v>10</v>
      </c>
      <c r="U246" s="58">
        <v>4</v>
      </c>
      <c r="V246" s="97" t="s">
        <v>38</v>
      </c>
      <c r="W246" s="472">
        <v>6</v>
      </c>
      <c r="X246" s="97" t="s">
        <v>10</v>
      </c>
      <c r="Y246" s="58">
        <v>5</v>
      </c>
      <c r="Z246" s="97" t="s">
        <v>13</v>
      </c>
      <c r="AA246" s="473" t="s">
        <v>20</v>
      </c>
      <c r="AB246" s="474">
        <f t="shared" si="661"/>
        <v>2</v>
      </c>
      <c r="AC246" s="97" t="s">
        <v>33</v>
      </c>
      <c r="AD246" s="475" t="str">
        <f t="shared" ref="AD246" si="735">IFERROR(ROUNDDOWN(ROUND(L245*Q246,0),0)*AB246,"")</f>
        <v/>
      </c>
      <c r="AE246" s="476" t="str">
        <f t="shared" ref="AE246:AE300" si="736">IFERROR(ROUNDDOWN(ROUND(L245*(Q246-O246),0),0)*AB246,"")</f>
        <v/>
      </c>
      <c r="AF246" s="477"/>
      <c r="AG246" s="362"/>
      <c r="AH246" s="363"/>
      <c r="AI246" s="364"/>
      <c r="AJ246" s="365"/>
      <c r="AK246" s="366"/>
      <c r="AL246" s="367"/>
      <c r="AM246" s="478"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79"/>
      <c r="AO246" s="466" t="str">
        <f>IF(K245&lt;&gt;"","P列・R列に色付け","")</f>
        <v/>
      </c>
      <c r="AX246" s="452" t="str">
        <f>G245</f>
        <v/>
      </c>
    </row>
    <row r="247" spans="1:50" ht="32.1" customHeight="1" thickBot="1">
      <c r="A247" s="1268"/>
      <c r="B247" s="1205"/>
      <c r="C247" s="1205"/>
      <c r="D247" s="1205"/>
      <c r="E247" s="1205"/>
      <c r="F247" s="1205"/>
      <c r="G247" s="1208"/>
      <c r="H247" s="1208"/>
      <c r="I247" s="1208"/>
      <c r="J247" s="1208"/>
      <c r="K247" s="1208"/>
      <c r="L247" s="1211"/>
      <c r="M247" s="480" t="s">
        <v>114</v>
      </c>
      <c r="N247" s="79"/>
      <c r="O247" s="481" t="str">
        <f>IFERROR(VLOOKUP(K245,【参考】数式用!$A$5:$J$37,MATCH(N247,【参考】数式用!$B$4:$J$4,0)+1,0),"")</f>
        <v/>
      </c>
      <c r="P247" s="77"/>
      <c r="Q247" s="481" t="str">
        <f>IFERROR(VLOOKUP(K245,【参考】数式用!$A$5:$J$37,MATCH(P247,【参考】数式用!$B$4:$J$4,0)+1,0),"")</f>
        <v/>
      </c>
      <c r="R247" s="482" t="s">
        <v>15</v>
      </c>
      <c r="S247" s="483">
        <v>6</v>
      </c>
      <c r="T247" s="484" t="s">
        <v>10</v>
      </c>
      <c r="U247" s="59">
        <v>4</v>
      </c>
      <c r="V247" s="484" t="s">
        <v>38</v>
      </c>
      <c r="W247" s="483">
        <v>6</v>
      </c>
      <c r="X247" s="484" t="s">
        <v>10</v>
      </c>
      <c r="Y247" s="59">
        <v>5</v>
      </c>
      <c r="Z247" s="484" t="s">
        <v>13</v>
      </c>
      <c r="AA247" s="485" t="s">
        <v>20</v>
      </c>
      <c r="AB247" s="486">
        <f t="shared" si="661"/>
        <v>2</v>
      </c>
      <c r="AC247" s="484" t="s">
        <v>33</v>
      </c>
      <c r="AD247" s="487" t="str">
        <f t="shared" ref="AD247" si="738">IFERROR(ROUNDDOWN(ROUND(L245*Q247,0),0)*AB247,"")</f>
        <v/>
      </c>
      <c r="AE247" s="488" t="str">
        <f t="shared" ref="AE247:AE301" si="739">IFERROR(ROUNDDOWN(ROUND(L245*(Q247-O247),0),0)*AB247,"")</f>
        <v/>
      </c>
      <c r="AF247" s="489">
        <f t="shared" si="554"/>
        <v>0</v>
      </c>
      <c r="AG247" s="368"/>
      <c r="AH247" s="369"/>
      <c r="AI247" s="370"/>
      <c r="AJ247" s="371"/>
      <c r="AK247" s="372"/>
      <c r="AL247" s="373"/>
      <c r="AM247" s="490"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1" t="str">
        <f>IF(K245&lt;&gt;"","P列・R列に色付け","")</f>
        <v/>
      </c>
      <c r="AP247" s="492"/>
      <c r="AQ247" s="492"/>
      <c r="AW247" s="493"/>
      <c r="AX247" s="452" t="str">
        <f>G245</f>
        <v/>
      </c>
    </row>
    <row r="248" spans="1:50" ht="32.1" customHeight="1">
      <c r="A248" s="1266">
        <v>79</v>
      </c>
      <c r="B248" s="1203" t="str">
        <f>IF(基本情報入力シート!C132="","",基本情報入力シート!C132)</f>
        <v/>
      </c>
      <c r="C248" s="1203"/>
      <c r="D248" s="1203"/>
      <c r="E248" s="1203"/>
      <c r="F248" s="1203"/>
      <c r="G248" s="1206" t="str">
        <f>IF(基本情報入力シート!M132="","",基本情報入力シート!M132)</f>
        <v/>
      </c>
      <c r="H248" s="1206" t="str">
        <f>IF(基本情報入力シート!R132="","",基本情報入力シート!R132)</f>
        <v/>
      </c>
      <c r="I248" s="1206" t="str">
        <f>IF(基本情報入力シート!W132="","",基本情報入力シート!W132)</f>
        <v/>
      </c>
      <c r="J248" s="1206" t="str">
        <f>IF(基本情報入力シート!X132="","",基本情報入力シート!X132)</f>
        <v/>
      </c>
      <c r="K248" s="1206" t="str">
        <f>IF(基本情報入力シート!Y132="","",基本情報入力シート!Y132)</f>
        <v/>
      </c>
      <c r="L248" s="1209" t="str">
        <f>IF(基本情報入力シート!AB132="","",基本情報入力シート!AB132)</f>
        <v/>
      </c>
      <c r="M248" s="456" t="s">
        <v>132</v>
      </c>
      <c r="N248" s="75"/>
      <c r="O248" s="457" t="str">
        <f>IFERROR(VLOOKUP(K248,【参考】数式用!$A$5:$J$37,MATCH(N248,【参考】数式用!$B$4:$J$4,0)+1,0),"")</f>
        <v/>
      </c>
      <c r="P248" s="75"/>
      <c r="Q248" s="457" t="str">
        <f>IFERROR(VLOOKUP(K248,【参考】数式用!$A$5:$J$37,MATCH(P248,【参考】数式用!$B$4:$J$4,0)+1,0),"")</f>
        <v/>
      </c>
      <c r="R248" s="458" t="s">
        <v>15</v>
      </c>
      <c r="S248" s="459">
        <v>6</v>
      </c>
      <c r="T248" s="125" t="s">
        <v>10</v>
      </c>
      <c r="U248" s="39">
        <v>4</v>
      </c>
      <c r="V248" s="125" t="s">
        <v>38</v>
      </c>
      <c r="W248" s="459">
        <v>6</v>
      </c>
      <c r="X248" s="125" t="s">
        <v>10</v>
      </c>
      <c r="Y248" s="39">
        <v>5</v>
      </c>
      <c r="Z248" s="125" t="s">
        <v>13</v>
      </c>
      <c r="AA248" s="460" t="s">
        <v>20</v>
      </c>
      <c r="AB248" s="461">
        <f t="shared" si="661"/>
        <v>2</v>
      </c>
      <c r="AC248" s="125" t="s">
        <v>33</v>
      </c>
      <c r="AD248" s="462" t="str">
        <f t="shared" ref="AD248" si="741">IFERROR(ROUNDDOWN(ROUND(L248*Q248,0),0)*AB248,"")</f>
        <v/>
      </c>
      <c r="AE248" s="463" t="str">
        <f t="shared" ref="AE248" si="742">IFERROR(ROUNDDOWN(ROUND(L248*(Q248-O248),0),0)*AB248,"")</f>
        <v/>
      </c>
      <c r="AF248" s="464"/>
      <c r="AG248" s="374"/>
      <c r="AH248" s="382"/>
      <c r="AI248" s="379"/>
      <c r="AJ248" s="380"/>
      <c r="AK248" s="360"/>
      <c r="AL248" s="361"/>
      <c r="AM248" s="465" t="str">
        <f t="shared" ref="AM248" si="743">IF(AO248="","",IF(Q248&lt;O248,"！加算の要件上は問題ありませんが、令和６年３月と比較して４・５月に加算率が下がる計画になっています。",""))</f>
        <v/>
      </c>
      <c r="AO248" s="466" t="str">
        <f>IF(K248&lt;&gt;"","P列・R列に色付け","")</f>
        <v/>
      </c>
      <c r="AP248" s="467" t="str">
        <f>IFERROR(VLOOKUP(K248,【参考】数式用!$AH$2:$AI$34,2,FALSE),"")</f>
        <v/>
      </c>
      <c r="AQ248" s="469" t="str">
        <f>P248&amp;P249&amp;P250</f>
        <v/>
      </c>
      <c r="AR248" s="467" t="str">
        <f t="shared" ref="AR248" si="744">IF(AF250&lt;&gt;0,IF(AG250="○","入力済","未入力"),"")</f>
        <v/>
      </c>
      <c r="AS248" s="468" t="str">
        <f>IF(OR(P248="処遇加算Ⅰ",P248="処遇加算Ⅱ"),IF(OR(AH248="○",AH248="令和６年度中に満たす"),"入力済","未入力"),"")</f>
        <v/>
      </c>
      <c r="AT248" s="469" t="str">
        <f>IF(P248="処遇加算Ⅲ",IF(AI248="○","入力済","未入力"),"")</f>
        <v/>
      </c>
      <c r="AU248" s="467" t="str">
        <f>IF(P248="処遇加算Ⅰ",IF(OR(AJ248="○",AJ248="令和６年度中に満たす"),"入力済","未入力"),"")</f>
        <v/>
      </c>
      <c r="AV248" s="467" t="str">
        <f t="shared" ref="AV248" si="745">IF(OR(P249="特定加算Ⅰ",P249="特定加算Ⅱ"),1,"")</f>
        <v/>
      </c>
      <c r="AW248" s="452" t="str">
        <f>IF(P249="特定加算Ⅰ",IF(AL249="","未入力","入力済"),"")</f>
        <v/>
      </c>
      <c r="AX248" s="452" t="str">
        <f>G248</f>
        <v/>
      </c>
    </row>
    <row r="249" spans="1:50" ht="32.1" customHeight="1">
      <c r="A249" s="1267"/>
      <c r="B249" s="1204"/>
      <c r="C249" s="1204"/>
      <c r="D249" s="1204"/>
      <c r="E249" s="1204"/>
      <c r="F249" s="1204"/>
      <c r="G249" s="1207"/>
      <c r="H249" s="1207"/>
      <c r="I249" s="1207"/>
      <c r="J249" s="1207"/>
      <c r="K249" s="1207"/>
      <c r="L249" s="1210"/>
      <c r="M249" s="470" t="s">
        <v>121</v>
      </c>
      <c r="N249" s="76"/>
      <c r="O249" s="471" t="str">
        <f>IFERROR(VLOOKUP(K248,【参考】数式用!$A$5:$J$37,MATCH(N249,【参考】数式用!$B$4:$J$4,0)+1,0),"")</f>
        <v/>
      </c>
      <c r="P249" s="76"/>
      <c r="Q249" s="471" t="str">
        <f>IFERROR(VLOOKUP(K248,【参考】数式用!$A$5:$J$37,MATCH(P249,【参考】数式用!$B$4:$J$4,0)+1,0),"")</f>
        <v/>
      </c>
      <c r="R249" s="96" t="s">
        <v>15</v>
      </c>
      <c r="S249" s="472">
        <v>6</v>
      </c>
      <c r="T249" s="97" t="s">
        <v>10</v>
      </c>
      <c r="U249" s="58">
        <v>4</v>
      </c>
      <c r="V249" s="97" t="s">
        <v>38</v>
      </c>
      <c r="W249" s="472">
        <v>6</v>
      </c>
      <c r="X249" s="97" t="s">
        <v>10</v>
      </c>
      <c r="Y249" s="58">
        <v>5</v>
      </c>
      <c r="Z249" s="97" t="s">
        <v>13</v>
      </c>
      <c r="AA249" s="473" t="s">
        <v>20</v>
      </c>
      <c r="AB249" s="474">
        <f t="shared" si="661"/>
        <v>2</v>
      </c>
      <c r="AC249" s="97" t="s">
        <v>33</v>
      </c>
      <c r="AD249" s="475" t="str">
        <f t="shared" ref="AD249" si="746">IFERROR(ROUNDDOWN(ROUND(L248*Q249,0),0)*AB249,"")</f>
        <v/>
      </c>
      <c r="AE249" s="476" t="str">
        <f t="shared" ref="AE249" si="747">IFERROR(ROUNDDOWN(ROUND(L248*(Q249-O249),0),0)*AB249,"")</f>
        <v/>
      </c>
      <c r="AF249" s="477"/>
      <c r="AG249" s="362"/>
      <c r="AH249" s="363"/>
      <c r="AI249" s="364"/>
      <c r="AJ249" s="365"/>
      <c r="AK249" s="366"/>
      <c r="AL249" s="367"/>
      <c r="AM249" s="478"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79"/>
      <c r="AO249" s="466" t="str">
        <f>IF(K248&lt;&gt;"","P列・R列に色付け","")</f>
        <v/>
      </c>
      <c r="AX249" s="452" t="str">
        <f>G248</f>
        <v/>
      </c>
    </row>
    <row r="250" spans="1:50" ht="32.1" customHeight="1" thickBot="1">
      <c r="A250" s="1268"/>
      <c r="B250" s="1205"/>
      <c r="C250" s="1205"/>
      <c r="D250" s="1205"/>
      <c r="E250" s="1205"/>
      <c r="F250" s="1205"/>
      <c r="G250" s="1208"/>
      <c r="H250" s="1208"/>
      <c r="I250" s="1208"/>
      <c r="J250" s="1208"/>
      <c r="K250" s="1208"/>
      <c r="L250" s="1211"/>
      <c r="M250" s="480" t="s">
        <v>114</v>
      </c>
      <c r="N250" s="79"/>
      <c r="O250" s="481" t="str">
        <f>IFERROR(VLOOKUP(K248,【参考】数式用!$A$5:$J$37,MATCH(N250,【参考】数式用!$B$4:$J$4,0)+1,0),"")</f>
        <v/>
      </c>
      <c r="P250" s="77"/>
      <c r="Q250" s="481" t="str">
        <f>IFERROR(VLOOKUP(K248,【参考】数式用!$A$5:$J$37,MATCH(P250,【参考】数式用!$B$4:$J$4,0)+1,0),"")</f>
        <v/>
      </c>
      <c r="R250" s="482" t="s">
        <v>15</v>
      </c>
      <c r="S250" s="483">
        <v>6</v>
      </c>
      <c r="T250" s="484" t="s">
        <v>10</v>
      </c>
      <c r="U250" s="59">
        <v>4</v>
      </c>
      <c r="V250" s="484" t="s">
        <v>38</v>
      </c>
      <c r="W250" s="483">
        <v>6</v>
      </c>
      <c r="X250" s="484" t="s">
        <v>10</v>
      </c>
      <c r="Y250" s="59">
        <v>5</v>
      </c>
      <c r="Z250" s="484" t="s">
        <v>13</v>
      </c>
      <c r="AA250" s="485" t="s">
        <v>20</v>
      </c>
      <c r="AB250" s="486">
        <f t="shared" si="661"/>
        <v>2</v>
      </c>
      <c r="AC250" s="484" t="s">
        <v>33</v>
      </c>
      <c r="AD250" s="487" t="str">
        <f t="shared" ref="AD250" si="749">IFERROR(ROUNDDOWN(ROUND(L248*Q250,0),0)*AB250,"")</f>
        <v/>
      </c>
      <c r="AE250" s="488" t="str">
        <f t="shared" ref="AE250" si="750">IFERROR(ROUNDDOWN(ROUND(L248*(Q250-O250),0),0)*AB250,"")</f>
        <v/>
      </c>
      <c r="AF250" s="489">
        <f t="shared" si="554"/>
        <v>0</v>
      </c>
      <c r="AG250" s="368"/>
      <c r="AH250" s="369"/>
      <c r="AI250" s="370"/>
      <c r="AJ250" s="371"/>
      <c r="AK250" s="372"/>
      <c r="AL250" s="373"/>
      <c r="AM250" s="490"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1" t="str">
        <f>IF(K248&lt;&gt;"","P列・R列に色付け","")</f>
        <v/>
      </c>
      <c r="AP250" s="492"/>
      <c r="AQ250" s="492"/>
      <c r="AW250" s="493"/>
      <c r="AX250" s="452" t="str">
        <f>G248</f>
        <v/>
      </c>
    </row>
    <row r="251" spans="1:50" ht="32.1" customHeight="1">
      <c r="A251" s="1266">
        <v>80</v>
      </c>
      <c r="B251" s="1203" t="str">
        <f>IF(基本情報入力シート!C133="","",基本情報入力シート!C133)</f>
        <v/>
      </c>
      <c r="C251" s="1203"/>
      <c r="D251" s="1203"/>
      <c r="E251" s="1203"/>
      <c r="F251" s="1203"/>
      <c r="G251" s="1206" t="str">
        <f>IF(基本情報入力シート!M133="","",基本情報入力シート!M133)</f>
        <v/>
      </c>
      <c r="H251" s="1206" t="str">
        <f>IF(基本情報入力シート!R133="","",基本情報入力シート!R133)</f>
        <v/>
      </c>
      <c r="I251" s="1206" t="str">
        <f>IF(基本情報入力シート!W133="","",基本情報入力シート!W133)</f>
        <v/>
      </c>
      <c r="J251" s="1206" t="str">
        <f>IF(基本情報入力シート!X133="","",基本情報入力シート!X133)</f>
        <v/>
      </c>
      <c r="K251" s="1206" t="str">
        <f>IF(基本情報入力シート!Y133="","",基本情報入力シート!Y133)</f>
        <v/>
      </c>
      <c r="L251" s="1209" t="str">
        <f>IF(基本情報入力シート!AB133="","",基本情報入力シート!AB133)</f>
        <v/>
      </c>
      <c r="M251" s="456" t="s">
        <v>132</v>
      </c>
      <c r="N251" s="75"/>
      <c r="O251" s="457" t="str">
        <f>IFERROR(VLOOKUP(K251,【参考】数式用!$A$5:$J$37,MATCH(N251,【参考】数式用!$B$4:$J$4,0)+1,0),"")</f>
        <v/>
      </c>
      <c r="P251" s="75"/>
      <c r="Q251" s="457" t="str">
        <f>IFERROR(VLOOKUP(K251,【参考】数式用!$A$5:$J$37,MATCH(P251,【参考】数式用!$B$4:$J$4,0)+1,0),"")</f>
        <v/>
      </c>
      <c r="R251" s="458" t="s">
        <v>15</v>
      </c>
      <c r="S251" s="459">
        <v>6</v>
      </c>
      <c r="T251" s="125" t="s">
        <v>10</v>
      </c>
      <c r="U251" s="39">
        <v>4</v>
      </c>
      <c r="V251" s="125" t="s">
        <v>38</v>
      </c>
      <c r="W251" s="459">
        <v>6</v>
      </c>
      <c r="X251" s="125" t="s">
        <v>10</v>
      </c>
      <c r="Y251" s="39">
        <v>5</v>
      </c>
      <c r="Z251" s="125" t="s">
        <v>13</v>
      </c>
      <c r="AA251" s="460" t="s">
        <v>20</v>
      </c>
      <c r="AB251" s="461">
        <f t="shared" si="661"/>
        <v>2</v>
      </c>
      <c r="AC251" s="125" t="s">
        <v>33</v>
      </c>
      <c r="AD251" s="462" t="str">
        <f t="shared" ref="AD251" si="752">IFERROR(ROUNDDOWN(ROUND(L251*Q251,0),0)*AB251,"")</f>
        <v/>
      </c>
      <c r="AE251" s="463" t="str">
        <f t="shared" si="720"/>
        <v/>
      </c>
      <c r="AF251" s="464"/>
      <c r="AG251" s="374"/>
      <c r="AH251" s="382"/>
      <c r="AI251" s="379"/>
      <c r="AJ251" s="380"/>
      <c r="AK251" s="360"/>
      <c r="AL251" s="361"/>
      <c r="AM251" s="465" t="str">
        <f t="shared" ref="AM251" si="753">IF(AO251="","",IF(Q251&lt;O251,"！加算の要件上は問題ありませんが、令和６年３月と比較して４・５月に加算率が下がる計画になっています。",""))</f>
        <v/>
      </c>
      <c r="AO251" s="466" t="str">
        <f>IF(K251&lt;&gt;"","P列・R列に色付け","")</f>
        <v/>
      </c>
      <c r="AP251" s="467" t="str">
        <f>IFERROR(VLOOKUP(K251,【参考】数式用!$AH$2:$AI$34,2,FALSE),"")</f>
        <v/>
      </c>
      <c r="AQ251" s="469" t="str">
        <f>P251&amp;P252&amp;P253</f>
        <v/>
      </c>
      <c r="AR251" s="467" t="str">
        <f t="shared" ref="AR251" si="754">IF(AF253&lt;&gt;0,IF(AG253="○","入力済","未入力"),"")</f>
        <v/>
      </c>
      <c r="AS251" s="468" t="str">
        <f>IF(OR(P251="処遇加算Ⅰ",P251="処遇加算Ⅱ"),IF(OR(AH251="○",AH251="令和６年度中に満たす"),"入力済","未入力"),"")</f>
        <v/>
      </c>
      <c r="AT251" s="469" t="str">
        <f>IF(P251="処遇加算Ⅲ",IF(AI251="○","入力済","未入力"),"")</f>
        <v/>
      </c>
      <c r="AU251" s="467" t="str">
        <f>IF(P251="処遇加算Ⅰ",IF(OR(AJ251="○",AJ251="令和６年度中に満たす"),"入力済","未入力"),"")</f>
        <v/>
      </c>
      <c r="AV251" s="467" t="str">
        <f t="shared" ref="AV251" si="755">IF(OR(P252="特定加算Ⅰ",P252="特定加算Ⅱ"),1,"")</f>
        <v/>
      </c>
      <c r="AW251" s="452" t="str">
        <f>IF(P252="特定加算Ⅰ",IF(AL252="","未入力","入力済"),"")</f>
        <v/>
      </c>
      <c r="AX251" s="452" t="str">
        <f>G251</f>
        <v/>
      </c>
    </row>
    <row r="252" spans="1:50" ht="32.1" customHeight="1">
      <c r="A252" s="1267"/>
      <c r="B252" s="1204"/>
      <c r="C252" s="1204"/>
      <c r="D252" s="1204"/>
      <c r="E252" s="1204"/>
      <c r="F252" s="1204"/>
      <c r="G252" s="1207"/>
      <c r="H252" s="1207"/>
      <c r="I252" s="1207"/>
      <c r="J252" s="1207"/>
      <c r="K252" s="1207"/>
      <c r="L252" s="1210"/>
      <c r="M252" s="470" t="s">
        <v>121</v>
      </c>
      <c r="N252" s="76"/>
      <c r="O252" s="471" t="str">
        <f>IFERROR(VLOOKUP(K251,【参考】数式用!$A$5:$J$37,MATCH(N252,【参考】数式用!$B$4:$J$4,0)+1,0),"")</f>
        <v/>
      </c>
      <c r="P252" s="76"/>
      <c r="Q252" s="471" t="str">
        <f>IFERROR(VLOOKUP(K251,【参考】数式用!$A$5:$J$37,MATCH(P252,【参考】数式用!$B$4:$J$4,0)+1,0),"")</f>
        <v/>
      </c>
      <c r="R252" s="96" t="s">
        <v>15</v>
      </c>
      <c r="S252" s="472">
        <v>6</v>
      </c>
      <c r="T252" s="97" t="s">
        <v>10</v>
      </c>
      <c r="U252" s="58">
        <v>4</v>
      </c>
      <c r="V252" s="97" t="s">
        <v>38</v>
      </c>
      <c r="W252" s="472">
        <v>6</v>
      </c>
      <c r="X252" s="97" t="s">
        <v>10</v>
      </c>
      <c r="Y252" s="58">
        <v>5</v>
      </c>
      <c r="Z252" s="97" t="s">
        <v>13</v>
      </c>
      <c r="AA252" s="473" t="s">
        <v>20</v>
      </c>
      <c r="AB252" s="474">
        <f t="shared" si="661"/>
        <v>2</v>
      </c>
      <c r="AC252" s="97" t="s">
        <v>33</v>
      </c>
      <c r="AD252" s="475" t="str">
        <f t="shared" ref="AD252" si="756">IFERROR(ROUNDDOWN(ROUND(L251*Q252,0),0)*AB252,"")</f>
        <v/>
      </c>
      <c r="AE252" s="476" t="str">
        <f t="shared" si="725"/>
        <v/>
      </c>
      <c r="AF252" s="477"/>
      <c r="AG252" s="362"/>
      <c r="AH252" s="363"/>
      <c r="AI252" s="364"/>
      <c r="AJ252" s="365"/>
      <c r="AK252" s="366"/>
      <c r="AL252" s="367"/>
      <c r="AM252" s="478"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79"/>
      <c r="AO252" s="466" t="str">
        <f>IF(K251&lt;&gt;"","P列・R列に色付け","")</f>
        <v/>
      </c>
      <c r="AX252" s="452" t="str">
        <f>G251</f>
        <v/>
      </c>
    </row>
    <row r="253" spans="1:50" ht="32.1" customHeight="1" thickBot="1">
      <c r="A253" s="1268"/>
      <c r="B253" s="1205"/>
      <c r="C253" s="1205"/>
      <c r="D253" s="1205"/>
      <c r="E253" s="1205"/>
      <c r="F253" s="1205"/>
      <c r="G253" s="1208"/>
      <c r="H253" s="1208"/>
      <c r="I253" s="1208"/>
      <c r="J253" s="1208"/>
      <c r="K253" s="1208"/>
      <c r="L253" s="1211"/>
      <c r="M253" s="480" t="s">
        <v>114</v>
      </c>
      <c r="N253" s="79"/>
      <c r="O253" s="481" t="str">
        <f>IFERROR(VLOOKUP(K251,【参考】数式用!$A$5:$J$37,MATCH(N253,【参考】数式用!$B$4:$J$4,0)+1,0),"")</f>
        <v/>
      </c>
      <c r="P253" s="77"/>
      <c r="Q253" s="481" t="str">
        <f>IFERROR(VLOOKUP(K251,【参考】数式用!$A$5:$J$37,MATCH(P253,【参考】数式用!$B$4:$J$4,0)+1,0),"")</f>
        <v/>
      </c>
      <c r="R253" s="482" t="s">
        <v>15</v>
      </c>
      <c r="S253" s="483">
        <v>6</v>
      </c>
      <c r="T253" s="484" t="s">
        <v>10</v>
      </c>
      <c r="U253" s="59">
        <v>4</v>
      </c>
      <c r="V253" s="484" t="s">
        <v>38</v>
      </c>
      <c r="W253" s="483">
        <v>6</v>
      </c>
      <c r="X253" s="484" t="s">
        <v>10</v>
      </c>
      <c r="Y253" s="59">
        <v>5</v>
      </c>
      <c r="Z253" s="484" t="s">
        <v>13</v>
      </c>
      <c r="AA253" s="485" t="s">
        <v>20</v>
      </c>
      <c r="AB253" s="486">
        <f t="shared" si="661"/>
        <v>2</v>
      </c>
      <c r="AC253" s="484" t="s">
        <v>33</v>
      </c>
      <c r="AD253" s="487" t="str">
        <f t="shared" ref="AD253" si="758">IFERROR(ROUNDDOWN(ROUND(L251*Q253,0),0)*AB253,"")</f>
        <v/>
      </c>
      <c r="AE253" s="488" t="str">
        <f t="shared" si="728"/>
        <v/>
      </c>
      <c r="AF253" s="489">
        <f t="shared" ref="AF253:AF313" si="759">IF(AND(N253="ベア加算なし",P253="ベア加算"),AD253,0)</f>
        <v>0</v>
      </c>
      <c r="AG253" s="368"/>
      <c r="AH253" s="369"/>
      <c r="AI253" s="370"/>
      <c r="AJ253" s="371"/>
      <c r="AK253" s="372"/>
      <c r="AL253" s="373"/>
      <c r="AM253" s="490"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1" t="str">
        <f>IF(K251&lt;&gt;"","P列・R列に色付け","")</f>
        <v/>
      </c>
      <c r="AP253" s="492"/>
      <c r="AQ253" s="492"/>
      <c r="AW253" s="493"/>
      <c r="AX253" s="452" t="str">
        <f>G251</f>
        <v/>
      </c>
    </row>
    <row r="254" spans="1:50" ht="32.1" customHeight="1">
      <c r="A254" s="1266">
        <v>81</v>
      </c>
      <c r="B254" s="1203" t="str">
        <f>IF(基本情報入力シート!C134="","",基本情報入力シート!C134)</f>
        <v/>
      </c>
      <c r="C254" s="1203"/>
      <c r="D254" s="1203"/>
      <c r="E254" s="1203"/>
      <c r="F254" s="1203"/>
      <c r="G254" s="1206" t="str">
        <f>IF(基本情報入力シート!M134="","",基本情報入力シート!M134)</f>
        <v/>
      </c>
      <c r="H254" s="1206" t="str">
        <f>IF(基本情報入力シート!R134="","",基本情報入力シート!R134)</f>
        <v/>
      </c>
      <c r="I254" s="1206" t="str">
        <f>IF(基本情報入力シート!W134="","",基本情報入力シート!W134)</f>
        <v/>
      </c>
      <c r="J254" s="1206" t="str">
        <f>IF(基本情報入力シート!X134="","",基本情報入力シート!X134)</f>
        <v/>
      </c>
      <c r="K254" s="1206" t="str">
        <f>IF(基本情報入力シート!Y134="","",基本情報入力シート!Y134)</f>
        <v/>
      </c>
      <c r="L254" s="1209" t="str">
        <f>IF(基本情報入力シート!AB134="","",基本情報入力シート!AB134)</f>
        <v/>
      </c>
      <c r="M254" s="456" t="s">
        <v>132</v>
      </c>
      <c r="N254" s="75"/>
      <c r="O254" s="457" t="str">
        <f>IFERROR(VLOOKUP(K254,【参考】数式用!$A$5:$J$37,MATCH(N254,【参考】数式用!$B$4:$J$4,0)+1,0),"")</f>
        <v/>
      </c>
      <c r="P254" s="75"/>
      <c r="Q254" s="457" t="str">
        <f>IFERROR(VLOOKUP(K254,【参考】数式用!$A$5:$J$37,MATCH(P254,【参考】数式用!$B$4:$J$4,0)+1,0),"")</f>
        <v/>
      </c>
      <c r="R254" s="458" t="s">
        <v>15</v>
      </c>
      <c r="S254" s="459">
        <v>6</v>
      </c>
      <c r="T254" s="125" t="s">
        <v>10</v>
      </c>
      <c r="U254" s="39">
        <v>4</v>
      </c>
      <c r="V254" s="125" t="s">
        <v>38</v>
      </c>
      <c r="W254" s="459">
        <v>6</v>
      </c>
      <c r="X254" s="125" t="s">
        <v>10</v>
      </c>
      <c r="Y254" s="39">
        <v>5</v>
      </c>
      <c r="Z254" s="125" t="s">
        <v>13</v>
      </c>
      <c r="AA254" s="460" t="s">
        <v>20</v>
      </c>
      <c r="AB254" s="461">
        <f t="shared" si="661"/>
        <v>2</v>
      </c>
      <c r="AC254" s="125" t="s">
        <v>33</v>
      </c>
      <c r="AD254" s="462" t="str">
        <f t="shared" ref="AD254" si="761">IFERROR(ROUNDDOWN(ROUND(L254*Q254,0),0)*AB254,"")</f>
        <v/>
      </c>
      <c r="AE254" s="463" t="str">
        <f t="shared" si="731"/>
        <v/>
      </c>
      <c r="AF254" s="464"/>
      <c r="AG254" s="374"/>
      <c r="AH254" s="382"/>
      <c r="AI254" s="379"/>
      <c r="AJ254" s="380"/>
      <c r="AK254" s="360"/>
      <c r="AL254" s="361"/>
      <c r="AM254" s="465" t="str">
        <f t="shared" ref="AM254" si="762">IF(AO254="","",IF(Q254&lt;O254,"！加算の要件上は問題ありませんが、令和６年３月と比較して４・５月に加算率が下がる計画になっています。",""))</f>
        <v/>
      </c>
      <c r="AO254" s="466" t="str">
        <f>IF(K254&lt;&gt;"","P列・R列に色付け","")</f>
        <v/>
      </c>
      <c r="AP254" s="467" t="str">
        <f>IFERROR(VLOOKUP(K254,【参考】数式用!$AH$2:$AI$34,2,FALSE),"")</f>
        <v/>
      </c>
      <c r="AQ254" s="469" t="str">
        <f>P254&amp;P255&amp;P256</f>
        <v/>
      </c>
      <c r="AR254" s="467" t="str">
        <f t="shared" ref="AR254" si="763">IF(AF256&lt;&gt;0,IF(AG256="○","入力済","未入力"),"")</f>
        <v/>
      </c>
      <c r="AS254" s="468" t="str">
        <f>IF(OR(P254="処遇加算Ⅰ",P254="処遇加算Ⅱ"),IF(OR(AH254="○",AH254="令和６年度中に満たす"),"入力済","未入力"),"")</f>
        <v/>
      </c>
      <c r="AT254" s="469" t="str">
        <f>IF(P254="処遇加算Ⅲ",IF(AI254="○","入力済","未入力"),"")</f>
        <v/>
      </c>
      <c r="AU254" s="467" t="str">
        <f>IF(P254="処遇加算Ⅰ",IF(OR(AJ254="○",AJ254="令和６年度中に満たす"),"入力済","未入力"),"")</f>
        <v/>
      </c>
      <c r="AV254" s="467" t="str">
        <f t="shared" ref="AV254" si="764">IF(OR(P255="特定加算Ⅰ",P255="特定加算Ⅱ"),1,"")</f>
        <v/>
      </c>
      <c r="AW254" s="452" t="str">
        <f>IF(P255="特定加算Ⅰ",IF(AL255="","未入力","入力済"),"")</f>
        <v/>
      </c>
      <c r="AX254" s="452" t="str">
        <f>G254</f>
        <v/>
      </c>
    </row>
    <row r="255" spans="1:50" ht="32.1" customHeight="1">
      <c r="A255" s="1267"/>
      <c r="B255" s="1204"/>
      <c r="C255" s="1204"/>
      <c r="D255" s="1204"/>
      <c r="E255" s="1204"/>
      <c r="F255" s="1204"/>
      <c r="G255" s="1207"/>
      <c r="H255" s="1207"/>
      <c r="I255" s="1207"/>
      <c r="J255" s="1207"/>
      <c r="K255" s="1207"/>
      <c r="L255" s="1210"/>
      <c r="M255" s="470" t="s">
        <v>121</v>
      </c>
      <c r="N255" s="76"/>
      <c r="O255" s="471" t="str">
        <f>IFERROR(VLOOKUP(K254,【参考】数式用!$A$5:$J$37,MATCH(N255,【参考】数式用!$B$4:$J$4,0)+1,0),"")</f>
        <v/>
      </c>
      <c r="P255" s="76"/>
      <c r="Q255" s="471" t="str">
        <f>IFERROR(VLOOKUP(K254,【参考】数式用!$A$5:$J$37,MATCH(P255,【参考】数式用!$B$4:$J$4,0)+1,0),"")</f>
        <v/>
      </c>
      <c r="R255" s="96" t="s">
        <v>15</v>
      </c>
      <c r="S255" s="472">
        <v>6</v>
      </c>
      <c r="T255" s="97" t="s">
        <v>10</v>
      </c>
      <c r="U255" s="58">
        <v>4</v>
      </c>
      <c r="V255" s="97" t="s">
        <v>38</v>
      </c>
      <c r="W255" s="472">
        <v>6</v>
      </c>
      <c r="X255" s="97" t="s">
        <v>10</v>
      </c>
      <c r="Y255" s="58">
        <v>5</v>
      </c>
      <c r="Z255" s="97" t="s">
        <v>13</v>
      </c>
      <c r="AA255" s="473" t="s">
        <v>20</v>
      </c>
      <c r="AB255" s="474">
        <f t="shared" si="661"/>
        <v>2</v>
      </c>
      <c r="AC255" s="97" t="s">
        <v>33</v>
      </c>
      <c r="AD255" s="475" t="str">
        <f t="shared" ref="AD255" si="765">IFERROR(ROUNDDOWN(ROUND(L254*Q255,0),0)*AB255,"")</f>
        <v/>
      </c>
      <c r="AE255" s="476" t="str">
        <f t="shared" si="736"/>
        <v/>
      </c>
      <c r="AF255" s="477"/>
      <c r="AG255" s="362"/>
      <c r="AH255" s="363"/>
      <c r="AI255" s="364"/>
      <c r="AJ255" s="365"/>
      <c r="AK255" s="366"/>
      <c r="AL255" s="367"/>
      <c r="AM255" s="478"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79"/>
      <c r="AO255" s="466" t="str">
        <f>IF(K254&lt;&gt;"","P列・R列に色付け","")</f>
        <v/>
      </c>
      <c r="AX255" s="452" t="str">
        <f>G254</f>
        <v/>
      </c>
    </row>
    <row r="256" spans="1:50" ht="32.1" customHeight="1" thickBot="1">
      <c r="A256" s="1268"/>
      <c r="B256" s="1205"/>
      <c r="C256" s="1205"/>
      <c r="D256" s="1205"/>
      <c r="E256" s="1205"/>
      <c r="F256" s="1205"/>
      <c r="G256" s="1208"/>
      <c r="H256" s="1208"/>
      <c r="I256" s="1208"/>
      <c r="J256" s="1208"/>
      <c r="K256" s="1208"/>
      <c r="L256" s="1211"/>
      <c r="M256" s="480" t="s">
        <v>114</v>
      </c>
      <c r="N256" s="79"/>
      <c r="O256" s="481" t="str">
        <f>IFERROR(VLOOKUP(K254,【参考】数式用!$A$5:$J$37,MATCH(N256,【参考】数式用!$B$4:$J$4,0)+1,0),"")</f>
        <v/>
      </c>
      <c r="P256" s="77"/>
      <c r="Q256" s="481" t="str">
        <f>IFERROR(VLOOKUP(K254,【参考】数式用!$A$5:$J$37,MATCH(P256,【参考】数式用!$B$4:$J$4,0)+1,0),"")</f>
        <v/>
      </c>
      <c r="R256" s="482" t="s">
        <v>15</v>
      </c>
      <c r="S256" s="483">
        <v>6</v>
      </c>
      <c r="T256" s="484" t="s">
        <v>10</v>
      </c>
      <c r="U256" s="59">
        <v>4</v>
      </c>
      <c r="V256" s="484" t="s">
        <v>38</v>
      </c>
      <c r="W256" s="483">
        <v>6</v>
      </c>
      <c r="X256" s="484" t="s">
        <v>10</v>
      </c>
      <c r="Y256" s="59">
        <v>5</v>
      </c>
      <c r="Z256" s="484" t="s">
        <v>13</v>
      </c>
      <c r="AA256" s="485" t="s">
        <v>20</v>
      </c>
      <c r="AB256" s="486">
        <f t="shared" si="661"/>
        <v>2</v>
      </c>
      <c r="AC256" s="484" t="s">
        <v>33</v>
      </c>
      <c r="AD256" s="487" t="str">
        <f t="shared" ref="AD256" si="767">IFERROR(ROUNDDOWN(ROUND(L254*Q256,0),0)*AB256,"")</f>
        <v/>
      </c>
      <c r="AE256" s="488" t="str">
        <f t="shared" si="739"/>
        <v/>
      </c>
      <c r="AF256" s="489">
        <f t="shared" si="759"/>
        <v>0</v>
      </c>
      <c r="AG256" s="368"/>
      <c r="AH256" s="369"/>
      <c r="AI256" s="370"/>
      <c r="AJ256" s="371"/>
      <c r="AK256" s="372"/>
      <c r="AL256" s="373"/>
      <c r="AM256" s="490"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1" t="str">
        <f>IF(K254&lt;&gt;"","P列・R列に色付け","")</f>
        <v/>
      </c>
      <c r="AP256" s="492"/>
      <c r="AQ256" s="492"/>
      <c r="AW256" s="493"/>
      <c r="AX256" s="452" t="str">
        <f>G254</f>
        <v/>
      </c>
    </row>
    <row r="257" spans="1:50" ht="32.1" customHeight="1">
      <c r="A257" s="1266">
        <v>82</v>
      </c>
      <c r="B257" s="1203" t="str">
        <f>IF(基本情報入力シート!C135="","",基本情報入力シート!C135)</f>
        <v/>
      </c>
      <c r="C257" s="1203"/>
      <c r="D257" s="1203"/>
      <c r="E257" s="1203"/>
      <c r="F257" s="1203"/>
      <c r="G257" s="1206" t="str">
        <f>IF(基本情報入力シート!M135="","",基本情報入力シート!M135)</f>
        <v/>
      </c>
      <c r="H257" s="1206" t="str">
        <f>IF(基本情報入力シート!R135="","",基本情報入力シート!R135)</f>
        <v/>
      </c>
      <c r="I257" s="1206" t="str">
        <f>IF(基本情報入力シート!W135="","",基本情報入力シート!W135)</f>
        <v/>
      </c>
      <c r="J257" s="1206" t="str">
        <f>IF(基本情報入力シート!X135="","",基本情報入力シート!X135)</f>
        <v/>
      </c>
      <c r="K257" s="1206" t="str">
        <f>IF(基本情報入力シート!Y135="","",基本情報入力シート!Y135)</f>
        <v/>
      </c>
      <c r="L257" s="1209" t="str">
        <f>IF(基本情報入力シート!AB135="","",基本情報入力シート!AB135)</f>
        <v/>
      </c>
      <c r="M257" s="456" t="s">
        <v>132</v>
      </c>
      <c r="N257" s="75"/>
      <c r="O257" s="457" t="str">
        <f>IFERROR(VLOOKUP(K257,【参考】数式用!$A$5:$J$37,MATCH(N257,【参考】数式用!$B$4:$J$4,0)+1,0),"")</f>
        <v/>
      </c>
      <c r="P257" s="75"/>
      <c r="Q257" s="457" t="str">
        <f>IFERROR(VLOOKUP(K257,【参考】数式用!$A$5:$J$37,MATCH(P257,【参考】数式用!$B$4:$J$4,0)+1,0),"")</f>
        <v/>
      </c>
      <c r="R257" s="458" t="s">
        <v>15</v>
      </c>
      <c r="S257" s="459">
        <v>6</v>
      </c>
      <c r="T257" s="125" t="s">
        <v>10</v>
      </c>
      <c r="U257" s="39">
        <v>4</v>
      </c>
      <c r="V257" s="125" t="s">
        <v>38</v>
      </c>
      <c r="W257" s="459">
        <v>6</v>
      </c>
      <c r="X257" s="125" t="s">
        <v>10</v>
      </c>
      <c r="Y257" s="39">
        <v>5</v>
      </c>
      <c r="Z257" s="125" t="s">
        <v>13</v>
      </c>
      <c r="AA257" s="460" t="s">
        <v>20</v>
      </c>
      <c r="AB257" s="461">
        <f t="shared" si="661"/>
        <v>2</v>
      </c>
      <c r="AC257" s="125" t="s">
        <v>33</v>
      </c>
      <c r="AD257" s="462" t="str">
        <f t="shared" ref="AD257" si="769">IFERROR(ROUNDDOWN(ROUND(L257*Q257,0),0)*AB257,"")</f>
        <v/>
      </c>
      <c r="AE257" s="463" t="str">
        <f t="shared" ref="AE257" si="770">IFERROR(ROUNDDOWN(ROUND(L257*(Q257-O257),0),0)*AB257,"")</f>
        <v/>
      </c>
      <c r="AF257" s="464"/>
      <c r="AG257" s="374"/>
      <c r="AH257" s="382"/>
      <c r="AI257" s="379"/>
      <c r="AJ257" s="380"/>
      <c r="AK257" s="360"/>
      <c r="AL257" s="361"/>
      <c r="AM257" s="465" t="str">
        <f t="shared" ref="AM257" si="771">IF(AO257="","",IF(Q257&lt;O257,"！加算の要件上は問題ありませんが、令和６年３月と比較して４・５月に加算率が下がる計画になっています。",""))</f>
        <v/>
      </c>
      <c r="AO257" s="466" t="str">
        <f>IF(K257&lt;&gt;"","P列・R列に色付け","")</f>
        <v/>
      </c>
      <c r="AP257" s="467" t="str">
        <f>IFERROR(VLOOKUP(K257,【参考】数式用!$AH$2:$AI$34,2,FALSE),"")</f>
        <v/>
      </c>
      <c r="AQ257" s="469" t="str">
        <f>P257&amp;P258&amp;P259</f>
        <v/>
      </c>
      <c r="AR257" s="467" t="str">
        <f t="shared" ref="AR257" si="772">IF(AF259&lt;&gt;0,IF(AG259="○","入力済","未入力"),"")</f>
        <v/>
      </c>
      <c r="AS257" s="468" t="str">
        <f>IF(OR(P257="処遇加算Ⅰ",P257="処遇加算Ⅱ"),IF(OR(AH257="○",AH257="令和６年度中に満たす"),"入力済","未入力"),"")</f>
        <v/>
      </c>
      <c r="AT257" s="469" t="str">
        <f>IF(P257="処遇加算Ⅲ",IF(AI257="○","入力済","未入力"),"")</f>
        <v/>
      </c>
      <c r="AU257" s="467" t="str">
        <f>IF(P257="処遇加算Ⅰ",IF(OR(AJ257="○",AJ257="令和６年度中に満たす"),"入力済","未入力"),"")</f>
        <v/>
      </c>
      <c r="AV257" s="467" t="str">
        <f t="shared" ref="AV257" si="773">IF(OR(P258="特定加算Ⅰ",P258="特定加算Ⅱ"),1,"")</f>
        <v/>
      </c>
      <c r="AW257" s="452" t="str">
        <f>IF(P258="特定加算Ⅰ",IF(AL258="","未入力","入力済"),"")</f>
        <v/>
      </c>
      <c r="AX257" s="452" t="str">
        <f>G257</f>
        <v/>
      </c>
    </row>
    <row r="258" spans="1:50" ht="32.1" customHeight="1">
      <c r="A258" s="1267"/>
      <c r="B258" s="1204"/>
      <c r="C258" s="1204"/>
      <c r="D258" s="1204"/>
      <c r="E258" s="1204"/>
      <c r="F258" s="1204"/>
      <c r="G258" s="1207"/>
      <c r="H258" s="1207"/>
      <c r="I258" s="1207"/>
      <c r="J258" s="1207"/>
      <c r="K258" s="1207"/>
      <c r="L258" s="1210"/>
      <c r="M258" s="470" t="s">
        <v>121</v>
      </c>
      <c r="N258" s="76"/>
      <c r="O258" s="471" t="str">
        <f>IFERROR(VLOOKUP(K257,【参考】数式用!$A$5:$J$37,MATCH(N258,【参考】数式用!$B$4:$J$4,0)+1,0),"")</f>
        <v/>
      </c>
      <c r="P258" s="76"/>
      <c r="Q258" s="471" t="str">
        <f>IFERROR(VLOOKUP(K257,【参考】数式用!$A$5:$J$37,MATCH(P258,【参考】数式用!$B$4:$J$4,0)+1,0),"")</f>
        <v/>
      </c>
      <c r="R258" s="96" t="s">
        <v>15</v>
      </c>
      <c r="S258" s="472">
        <v>6</v>
      </c>
      <c r="T258" s="97" t="s">
        <v>10</v>
      </c>
      <c r="U258" s="58">
        <v>4</v>
      </c>
      <c r="V258" s="97" t="s">
        <v>38</v>
      </c>
      <c r="W258" s="472">
        <v>6</v>
      </c>
      <c r="X258" s="97" t="s">
        <v>10</v>
      </c>
      <c r="Y258" s="58">
        <v>5</v>
      </c>
      <c r="Z258" s="97" t="s">
        <v>13</v>
      </c>
      <c r="AA258" s="473" t="s">
        <v>20</v>
      </c>
      <c r="AB258" s="474">
        <f t="shared" si="661"/>
        <v>2</v>
      </c>
      <c r="AC258" s="97" t="s">
        <v>33</v>
      </c>
      <c r="AD258" s="475" t="str">
        <f t="shared" ref="AD258" si="774">IFERROR(ROUNDDOWN(ROUND(L257*Q258,0),0)*AB258,"")</f>
        <v/>
      </c>
      <c r="AE258" s="476" t="str">
        <f t="shared" ref="AE258" si="775">IFERROR(ROUNDDOWN(ROUND(L257*(Q258-O258),0),0)*AB258,"")</f>
        <v/>
      </c>
      <c r="AF258" s="477"/>
      <c r="AG258" s="362"/>
      <c r="AH258" s="363"/>
      <c r="AI258" s="364"/>
      <c r="AJ258" s="365"/>
      <c r="AK258" s="366"/>
      <c r="AL258" s="367"/>
      <c r="AM258" s="478"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79"/>
      <c r="AO258" s="466" t="str">
        <f>IF(K257&lt;&gt;"","P列・R列に色付け","")</f>
        <v/>
      </c>
      <c r="AX258" s="452" t="str">
        <f>G257</f>
        <v/>
      </c>
    </row>
    <row r="259" spans="1:50" ht="32.1" customHeight="1" thickBot="1">
      <c r="A259" s="1268"/>
      <c r="B259" s="1205"/>
      <c r="C259" s="1205"/>
      <c r="D259" s="1205"/>
      <c r="E259" s="1205"/>
      <c r="F259" s="1205"/>
      <c r="G259" s="1208"/>
      <c r="H259" s="1208"/>
      <c r="I259" s="1208"/>
      <c r="J259" s="1208"/>
      <c r="K259" s="1208"/>
      <c r="L259" s="1211"/>
      <c r="M259" s="480" t="s">
        <v>114</v>
      </c>
      <c r="N259" s="79"/>
      <c r="O259" s="481" t="str">
        <f>IFERROR(VLOOKUP(K257,【参考】数式用!$A$5:$J$37,MATCH(N259,【参考】数式用!$B$4:$J$4,0)+1,0),"")</f>
        <v/>
      </c>
      <c r="P259" s="77"/>
      <c r="Q259" s="481" t="str">
        <f>IFERROR(VLOOKUP(K257,【参考】数式用!$A$5:$J$37,MATCH(P259,【参考】数式用!$B$4:$J$4,0)+1,0),"")</f>
        <v/>
      </c>
      <c r="R259" s="482" t="s">
        <v>15</v>
      </c>
      <c r="S259" s="483">
        <v>6</v>
      </c>
      <c r="T259" s="484" t="s">
        <v>10</v>
      </c>
      <c r="U259" s="59">
        <v>4</v>
      </c>
      <c r="V259" s="484" t="s">
        <v>38</v>
      </c>
      <c r="W259" s="483">
        <v>6</v>
      </c>
      <c r="X259" s="484" t="s">
        <v>10</v>
      </c>
      <c r="Y259" s="59">
        <v>5</v>
      </c>
      <c r="Z259" s="484" t="s">
        <v>13</v>
      </c>
      <c r="AA259" s="485" t="s">
        <v>20</v>
      </c>
      <c r="AB259" s="486">
        <f t="shared" si="661"/>
        <v>2</v>
      </c>
      <c r="AC259" s="484" t="s">
        <v>33</v>
      </c>
      <c r="AD259" s="487" t="str">
        <f t="shared" ref="AD259" si="777">IFERROR(ROUNDDOWN(ROUND(L257*Q259,0),0)*AB259,"")</f>
        <v/>
      </c>
      <c r="AE259" s="488" t="str">
        <f t="shared" ref="AE259" si="778">IFERROR(ROUNDDOWN(ROUND(L257*(Q259-O259),0),0)*AB259,"")</f>
        <v/>
      </c>
      <c r="AF259" s="489">
        <f t="shared" si="759"/>
        <v>0</v>
      </c>
      <c r="AG259" s="368"/>
      <c r="AH259" s="369"/>
      <c r="AI259" s="370"/>
      <c r="AJ259" s="371"/>
      <c r="AK259" s="372"/>
      <c r="AL259" s="373"/>
      <c r="AM259" s="490"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1" t="str">
        <f>IF(K257&lt;&gt;"","P列・R列に色付け","")</f>
        <v/>
      </c>
      <c r="AP259" s="492"/>
      <c r="AQ259" s="492"/>
      <c r="AW259" s="493"/>
      <c r="AX259" s="452" t="str">
        <f>G257</f>
        <v/>
      </c>
    </row>
    <row r="260" spans="1:50" ht="32.1" customHeight="1">
      <c r="A260" s="1266">
        <v>83</v>
      </c>
      <c r="B260" s="1203" t="str">
        <f>IF(基本情報入力シート!C136="","",基本情報入力シート!C136)</f>
        <v/>
      </c>
      <c r="C260" s="1203"/>
      <c r="D260" s="1203"/>
      <c r="E260" s="1203"/>
      <c r="F260" s="1203"/>
      <c r="G260" s="1206" t="str">
        <f>IF(基本情報入力シート!M136="","",基本情報入力シート!M136)</f>
        <v/>
      </c>
      <c r="H260" s="1206" t="str">
        <f>IF(基本情報入力シート!R136="","",基本情報入力シート!R136)</f>
        <v/>
      </c>
      <c r="I260" s="1206" t="str">
        <f>IF(基本情報入力シート!W136="","",基本情報入力シート!W136)</f>
        <v/>
      </c>
      <c r="J260" s="1206" t="str">
        <f>IF(基本情報入力シート!X136="","",基本情報入力シート!X136)</f>
        <v/>
      </c>
      <c r="K260" s="1206" t="str">
        <f>IF(基本情報入力シート!Y136="","",基本情報入力シート!Y136)</f>
        <v/>
      </c>
      <c r="L260" s="1209" t="str">
        <f>IF(基本情報入力シート!AB136="","",基本情報入力シート!AB136)</f>
        <v/>
      </c>
      <c r="M260" s="456" t="s">
        <v>132</v>
      </c>
      <c r="N260" s="75"/>
      <c r="O260" s="457" t="str">
        <f>IFERROR(VLOOKUP(K260,【参考】数式用!$A$5:$J$37,MATCH(N260,【参考】数式用!$B$4:$J$4,0)+1,0),"")</f>
        <v/>
      </c>
      <c r="P260" s="75"/>
      <c r="Q260" s="457" t="str">
        <f>IFERROR(VLOOKUP(K260,【参考】数式用!$A$5:$J$37,MATCH(P260,【参考】数式用!$B$4:$J$4,0)+1,0),"")</f>
        <v/>
      </c>
      <c r="R260" s="458" t="s">
        <v>15</v>
      </c>
      <c r="S260" s="459">
        <v>6</v>
      </c>
      <c r="T260" s="125" t="s">
        <v>10</v>
      </c>
      <c r="U260" s="39">
        <v>4</v>
      </c>
      <c r="V260" s="125" t="s">
        <v>38</v>
      </c>
      <c r="W260" s="459">
        <v>6</v>
      </c>
      <c r="X260" s="125" t="s">
        <v>10</v>
      </c>
      <c r="Y260" s="39">
        <v>5</v>
      </c>
      <c r="Z260" s="125" t="s">
        <v>13</v>
      </c>
      <c r="AA260" s="460" t="s">
        <v>20</v>
      </c>
      <c r="AB260" s="461">
        <f t="shared" si="661"/>
        <v>2</v>
      </c>
      <c r="AC260" s="125" t="s">
        <v>33</v>
      </c>
      <c r="AD260" s="462" t="str">
        <f t="shared" ref="AD260" si="780">IFERROR(ROUNDDOWN(ROUND(L260*Q260,0),0)*AB260,"")</f>
        <v/>
      </c>
      <c r="AE260" s="463" t="str">
        <f t="shared" si="720"/>
        <v/>
      </c>
      <c r="AF260" s="464"/>
      <c r="AG260" s="374"/>
      <c r="AH260" s="382"/>
      <c r="AI260" s="379"/>
      <c r="AJ260" s="380"/>
      <c r="AK260" s="360"/>
      <c r="AL260" s="361"/>
      <c r="AM260" s="465" t="str">
        <f t="shared" ref="AM260" si="781">IF(AO260="","",IF(Q260&lt;O260,"！加算の要件上は問題ありませんが、令和６年３月と比較して４・５月に加算率が下がる計画になっています。",""))</f>
        <v/>
      </c>
      <c r="AO260" s="466" t="str">
        <f>IF(K260&lt;&gt;"","P列・R列に色付け","")</f>
        <v/>
      </c>
      <c r="AP260" s="467" t="str">
        <f>IFERROR(VLOOKUP(K260,【参考】数式用!$AH$2:$AI$34,2,FALSE),"")</f>
        <v/>
      </c>
      <c r="AQ260" s="469" t="str">
        <f>P260&amp;P261&amp;P262</f>
        <v/>
      </c>
      <c r="AR260" s="467" t="str">
        <f t="shared" ref="AR260" si="782">IF(AF262&lt;&gt;0,IF(AG262="○","入力済","未入力"),"")</f>
        <v/>
      </c>
      <c r="AS260" s="468" t="str">
        <f>IF(OR(P260="処遇加算Ⅰ",P260="処遇加算Ⅱ"),IF(OR(AH260="○",AH260="令和６年度中に満たす"),"入力済","未入力"),"")</f>
        <v/>
      </c>
      <c r="AT260" s="469" t="str">
        <f>IF(P260="処遇加算Ⅲ",IF(AI260="○","入力済","未入力"),"")</f>
        <v/>
      </c>
      <c r="AU260" s="467" t="str">
        <f>IF(P260="処遇加算Ⅰ",IF(OR(AJ260="○",AJ260="令和６年度中に満たす"),"入力済","未入力"),"")</f>
        <v/>
      </c>
      <c r="AV260" s="467" t="str">
        <f t="shared" ref="AV260" si="783">IF(OR(P261="特定加算Ⅰ",P261="特定加算Ⅱ"),1,"")</f>
        <v/>
      </c>
      <c r="AW260" s="452" t="str">
        <f>IF(P261="特定加算Ⅰ",IF(AL261="","未入力","入力済"),"")</f>
        <v/>
      </c>
      <c r="AX260" s="452" t="str">
        <f>G260</f>
        <v/>
      </c>
    </row>
    <row r="261" spans="1:50" ht="32.1" customHeight="1">
      <c r="A261" s="1267"/>
      <c r="B261" s="1204"/>
      <c r="C261" s="1204"/>
      <c r="D261" s="1204"/>
      <c r="E261" s="1204"/>
      <c r="F261" s="1204"/>
      <c r="G261" s="1207"/>
      <c r="H261" s="1207"/>
      <c r="I261" s="1207"/>
      <c r="J261" s="1207"/>
      <c r="K261" s="1207"/>
      <c r="L261" s="1210"/>
      <c r="M261" s="470" t="s">
        <v>121</v>
      </c>
      <c r="N261" s="76"/>
      <c r="O261" s="471" t="str">
        <f>IFERROR(VLOOKUP(K260,【参考】数式用!$A$5:$J$37,MATCH(N261,【参考】数式用!$B$4:$J$4,0)+1,0),"")</f>
        <v/>
      </c>
      <c r="P261" s="76"/>
      <c r="Q261" s="471" t="str">
        <f>IFERROR(VLOOKUP(K260,【参考】数式用!$A$5:$J$37,MATCH(P261,【参考】数式用!$B$4:$J$4,0)+1,0),"")</f>
        <v/>
      </c>
      <c r="R261" s="96" t="s">
        <v>15</v>
      </c>
      <c r="S261" s="472">
        <v>6</v>
      </c>
      <c r="T261" s="97" t="s">
        <v>10</v>
      </c>
      <c r="U261" s="58">
        <v>4</v>
      </c>
      <c r="V261" s="97" t="s">
        <v>38</v>
      </c>
      <c r="W261" s="472">
        <v>6</v>
      </c>
      <c r="X261" s="97" t="s">
        <v>10</v>
      </c>
      <c r="Y261" s="58">
        <v>5</v>
      </c>
      <c r="Z261" s="97" t="s">
        <v>13</v>
      </c>
      <c r="AA261" s="473" t="s">
        <v>20</v>
      </c>
      <c r="AB261" s="474">
        <f t="shared" si="661"/>
        <v>2</v>
      </c>
      <c r="AC261" s="97" t="s">
        <v>33</v>
      </c>
      <c r="AD261" s="475" t="str">
        <f t="shared" ref="AD261" si="784">IFERROR(ROUNDDOWN(ROUND(L260*Q261,0),0)*AB261,"")</f>
        <v/>
      </c>
      <c r="AE261" s="476" t="str">
        <f t="shared" si="725"/>
        <v/>
      </c>
      <c r="AF261" s="477"/>
      <c r="AG261" s="362"/>
      <c r="AH261" s="363"/>
      <c r="AI261" s="364"/>
      <c r="AJ261" s="365"/>
      <c r="AK261" s="366"/>
      <c r="AL261" s="367"/>
      <c r="AM261" s="478"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79"/>
      <c r="AO261" s="466" t="str">
        <f>IF(K260&lt;&gt;"","P列・R列に色付け","")</f>
        <v/>
      </c>
      <c r="AX261" s="452" t="str">
        <f>G260</f>
        <v/>
      </c>
    </row>
    <row r="262" spans="1:50" ht="32.1" customHeight="1" thickBot="1">
      <c r="A262" s="1268"/>
      <c r="B262" s="1205"/>
      <c r="C262" s="1205"/>
      <c r="D262" s="1205"/>
      <c r="E262" s="1205"/>
      <c r="F262" s="1205"/>
      <c r="G262" s="1208"/>
      <c r="H262" s="1208"/>
      <c r="I262" s="1208"/>
      <c r="J262" s="1208"/>
      <c r="K262" s="1208"/>
      <c r="L262" s="1211"/>
      <c r="M262" s="480" t="s">
        <v>114</v>
      </c>
      <c r="N262" s="79"/>
      <c r="O262" s="481" t="str">
        <f>IFERROR(VLOOKUP(K260,【参考】数式用!$A$5:$J$37,MATCH(N262,【参考】数式用!$B$4:$J$4,0)+1,0),"")</f>
        <v/>
      </c>
      <c r="P262" s="77"/>
      <c r="Q262" s="481" t="str">
        <f>IFERROR(VLOOKUP(K260,【参考】数式用!$A$5:$J$37,MATCH(P262,【参考】数式用!$B$4:$J$4,0)+1,0),"")</f>
        <v/>
      </c>
      <c r="R262" s="482" t="s">
        <v>15</v>
      </c>
      <c r="S262" s="483">
        <v>6</v>
      </c>
      <c r="T262" s="484" t="s">
        <v>10</v>
      </c>
      <c r="U262" s="59">
        <v>4</v>
      </c>
      <c r="V262" s="484" t="s">
        <v>38</v>
      </c>
      <c r="W262" s="483">
        <v>6</v>
      </c>
      <c r="X262" s="484" t="s">
        <v>10</v>
      </c>
      <c r="Y262" s="59">
        <v>5</v>
      </c>
      <c r="Z262" s="484" t="s">
        <v>13</v>
      </c>
      <c r="AA262" s="485" t="s">
        <v>20</v>
      </c>
      <c r="AB262" s="486">
        <f t="shared" si="661"/>
        <v>2</v>
      </c>
      <c r="AC262" s="484" t="s">
        <v>33</v>
      </c>
      <c r="AD262" s="487" t="str">
        <f t="shared" ref="AD262" si="786">IFERROR(ROUNDDOWN(ROUND(L260*Q262,0),0)*AB262,"")</f>
        <v/>
      </c>
      <c r="AE262" s="488" t="str">
        <f t="shared" si="728"/>
        <v/>
      </c>
      <c r="AF262" s="489">
        <f t="shared" si="759"/>
        <v>0</v>
      </c>
      <c r="AG262" s="368"/>
      <c r="AH262" s="369"/>
      <c r="AI262" s="370"/>
      <c r="AJ262" s="371"/>
      <c r="AK262" s="372"/>
      <c r="AL262" s="373"/>
      <c r="AM262" s="490"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1" t="str">
        <f>IF(K260&lt;&gt;"","P列・R列に色付け","")</f>
        <v/>
      </c>
      <c r="AP262" s="492"/>
      <c r="AQ262" s="492"/>
      <c r="AW262" s="493"/>
      <c r="AX262" s="452" t="str">
        <f>G260</f>
        <v/>
      </c>
    </row>
    <row r="263" spans="1:50" ht="32.1" customHeight="1">
      <c r="A263" s="1266">
        <v>84</v>
      </c>
      <c r="B263" s="1203" t="str">
        <f>IF(基本情報入力シート!C137="","",基本情報入力シート!C137)</f>
        <v/>
      </c>
      <c r="C263" s="1203"/>
      <c r="D263" s="1203"/>
      <c r="E263" s="1203"/>
      <c r="F263" s="1203"/>
      <c r="G263" s="1206" t="str">
        <f>IF(基本情報入力シート!M137="","",基本情報入力シート!M137)</f>
        <v/>
      </c>
      <c r="H263" s="1206" t="str">
        <f>IF(基本情報入力シート!R137="","",基本情報入力シート!R137)</f>
        <v/>
      </c>
      <c r="I263" s="1206" t="str">
        <f>IF(基本情報入力シート!W137="","",基本情報入力シート!W137)</f>
        <v/>
      </c>
      <c r="J263" s="1206" t="str">
        <f>IF(基本情報入力シート!X137="","",基本情報入力シート!X137)</f>
        <v/>
      </c>
      <c r="K263" s="1206" t="str">
        <f>IF(基本情報入力シート!Y137="","",基本情報入力シート!Y137)</f>
        <v/>
      </c>
      <c r="L263" s="1209" t="str">
        <f>IF(基本情報入力シート!AB137="","",基本情報入力シート!AB137)</f>
        <v/>
      </c>
      <c r="M263" s="456" t="s">
        <v>132</v>
      </c>
      <c r="N263" s="75"/>
      <c r="O263" s="457" t="str">
        <f>IFERROR(VLOOKUP(K263,【参考】数式用!$A$5:$J$37,MATCH(N263,【参考】数式用!$B$4:$J$4,0)+1,0),"")</f>
        <v/>
      </c>
      <c r="P263" s="75"/>
      <c r="Q263" s="457" t="str">
        <f>IFERROR(VLOOKUP(K263,【参考】数式用!$A$5:$J$37,MATCH(P263,【参考】数式用!$B$4:$J$4,0)+1,0),"")</f>
        <v/>
      </c>
      <c r="R263" s="458" t="s">
        <v>15</v>
      </c>
      <c r="S263" s="459">
        <v>6</v>
      </c>
      <c r="T263" s="125" t="s">
        <v>10</v>
      </c>
      <c r="U263" s="39">
        <v>4</v>
      </c>
      <c r="V263" s="125" t="s">
        <v>38</v>
      </c>
      <c r="W263" s="459">
        <v>6</v>
      </c>
      <c r="X263" s="125" t="s">
        <v>10</v>
      </c>
      <c r="Y263" s="39">
        <v>5</v>
      </c>
      <c r="Z263" s="125" t="s">
        <v>13</v>
      </c>
      <c r="AA263" s="460" t="s">
        <v>20</v>
      </c>
      <c r="AB263" s="461">
        <f t="shared" si="661"/>
        <v>2</v>
      </c>
      <c r="AC263" s="125" t="s">
        <v>33</v>
      </c>
      <c r="AD263" s="462" t="str">
        <f t="shared" ref="AD263" si="788">IFERROR(ROUNDDOWN(ROUND(L263*Q263,0),0)*AB263,"")</f>
        <v/>
      </c>
      <c r="AE263" s="463" t="str">
        <f t="shared" si="731"/>
        <v/>
      </c>
      <c r="AF263" s="464"/>
      <c r="AG263" s="374"/>
      <c r="AH263" s="382"/>
      <c r="AI263" s="379"/>
      <c r="AJ263" s="380"/>
      <c r="AK263" s="360"/>
      <c r="AL263" s="361"/>
      <c r="AM263" s="465" t="str">
        <f t="shared" ref="AM263" si="789">IF(AO263="","",IF(Q263&lt;O263,"！加算の要件上は問題ありませんが、令和６年３月と比較して４・５月に加算率が下がる計画になっています。",""))</f>
        <v/>
      </c>
      <c r="AO263" s="466" t="str">
        <f>IF(K263&lt;&gt;"","P列・R列に色付け","")</f>
        <v/>
      </c>
      <c r="AP263" s="467" t="str">
        <f>IFERROR(VLOOKUP(K263,【参考】数式用!$AH$2:$AI$34,2,FALSE),"")</f>
        <v/>
      </c>
      <c r="AQ263" s="469" t="str">
        <f>P263&amp;P264&amp;P265</f>
        <v/>
      </c>
      <c r="AR263" s="467" t="str">
        <f t="shared" ref="AR263" si="790">IF(AF265&lt;&gt;0,IF(AG265="○","入力済","未入力"),"")</f>
        <v/>
      </c>
      <c r="AS263" s="468" t="str">
        <f>IF(OR(P263="処遇加算Ⅰ",P263="処遇加算Ⅱ"),IF(OR(AH263="○",AH263="令和６年度中に満たす"),"入力済","未入力"),"")</f>
        <v/>
      </c>
      <c r="AT263" s="469" t="str">
        <f>IF(P263="処遇加算Ⅲ",IF(AI263="○","入力済","未入力"),"")</f>
        <v/>
      </c>
      <c r="AU263" s="467" t="str">
        <f>IF(P263="処遇加算Ⅰ",IF(OR(AJ263="○",AJ263="令和６年度中に満たす"),"入力済","未入力"),"")</f>
        <v/>
      </c>
      <c r="AV263" s="467" t="str">
        <f t="shared" ref="AV263" si="791">IF(OR(P264="特定加算Ⅰ",P264="特定加算Ⅱ"),1,"")</f>
        <v/>
      </c>
      <c r="AW263" s="452" t="str">
        <f>IF(P264="特定加算Ⅰ",IF(AL264="","未入力","入力済"),"")</f>
        <v/>
      </c>
      <c r="AX263" s="452" t="str">
        <f>G263</f>
        <v/>
      </c>
    </row>
    <row r="264" spans="1:50" ht="32.1" customHeight="1">
      <c r="A264" s="1267"/>
      <c r="B264" s="1204"/>
      <c r="C264" s="1204"/>
      <c r="D264" s="1204"/>
      <c r="E264" s="1204"/>
      <c r="F264" s="1204"/>
      <c r="G264" s="1207"/>
      <c r="H264" s="1207"/>
      <c r="I264" s="1207"/>
      <c r="J264" s="1207"/>
      <c r="K264" s="1207"/>
      <c r="L264" s="1210"/>
      <c r="M264" s="470" t="s">
        <v>121</v>
      </c>
      <c r="N264" s="76"/>
      <c r="O264" s="471" t="str">
        <f>IFERROR(VLOOKUP(K263,【参考】数式用!$A$5:$J$37,MATCH(N264,【参考】数式用!$B$4:$J$4,0)+1,0),"")</f>
        <v/>
      </c>
      <c r="P264" s="76"/>
      <c r="Q264" s="471" t="str">
        <f>IFERROR(VLOOKUP(K263,【参考】数式用!$A$5:$J$37,MATCH(P264,【参考】数式用!$B$4:$J$4,0)+1,0),"")</f>
        <v/>
      </c>
      <c r="R264" s="96" t="s">
        <v>15</v>
      </c>
      <c r="S264" s="472">
        <v>6</v>
      </c>
      <c r="T264" s="97" t="s">
        <v>10</v>
      </c>
      <c r="U264" s="58">
        <v>4</v>
      </c>
      <c r="V264" s="97" t="s">
        <v>38</v>
      </c>
      <c r="W264" s="472">
        <v>6</v>
      </c>
      <c r="X264" s="97" t="s">
        <v>10</v>
      </c>
      <c r="Y264" s="58">
        <v>5</v>
      </c>
      <c r="Z264" s="97" t="s">
        <v>13</v>
      </c>
      <c r="AA264" s="473" t="s">
        <v>20</v>
      </c>
      <c r="AB264" s="474">
        <f t="shared" si="661"/>
        <v>2</v>
      </c>
      <c r="AC264" s="97" t="s">
        <v>33</v>
      </c>
      <c r="AD264" s="475" t="str">
        <f t="shared" ref="AD264" si="792">IFERROR(ROUNDDOWN(ROUND(L263*Q264,0),0)*AB264,"")</f>
        <v/>
      </c>
      <c r="AE264" s="476" t="str">
        <f t="shared" si="736"/>
        <v/>
      </c>
      <c r="AF264" s="477"/>
      <c r="AG264" s="362"/>
      <c r="AH264" s="363"/>
      <c r="AI264" s="364"/>
      <c r="AJ264" s="365"/>
      <c r="AK264" s="366"/>
      <c r="AL264" s="367"/>
      <c r="AM264" s="478"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79"/>
      <c r="AO264" s="466" t="str">
        <f>IF(K263&lt;&gt;"","P列・R列に色付け","")</f>
        <v/>
      </c>
      <c r="AX264" s="452" t="str">
        <f>G263</f>
        <v/>
      </c>
    </row>
    <row r="265" spans="1:50" ht="32.1" customHeight="1" thickBot="1">
      <c r="A265" s="1268"/>
      <c r="B265" s="1205"/>
      <c r="C265" s="1205"/>
      <c r="D265" s="1205"/>
      <c r="E265" s="1205"/>
      <c r="F265" s="1205"/>
      <c r="G265" s="1208"/>
      <c r="H265" s="1208"/>
      <c r="I265" s="1208"/>
      <c r="J265" s="1208"/>
      <c r="K265" s="1208"/>
      <c r="L265" s="1211"/>
      <c r="M265" s="480" t="s">
        <v>114</v>
      </c>
      <c r="N265" s="79"/>
      <c r="O265" s="481" t="str">
        <f>IFERROR(VLOOKUP(K263,【参考】数式用!$A$5:$J$37,MATCH(N265,【参考】数式用!$B$4:$J$4,0)+1,0),"")</f>
        <v/>
      </c>
      <c r="P265" s="77"/>
      <c r="Q265" s="481" t="str">
        <f>IFERROR(VLOOKUP(K263,【参考】数式用!$A$5:$J$37,MATCH(P265,【参考】数式用!$B$4:$J$4,0)+1,0),"")</f>
        <v/>
      </c>
      <c r="R265" s="482" t="s">
        <v>15</v>
      </c>
      <c r="S265" s="483">
        <v>6</v>
      </c>
      <c r="T265" s="484" t="s">
        <v>10</v>
      </c>
      <c r="U265" s="59">
        <v>4</v>
      </c>
      <c r="V265" s="484" t="s">
        <v>38</v>
      </c>
      <c r="W265" s="483">
        <v>6</v>
      </c>
      <c r="X265" s="484" t="s">
        <v>10</v>
      </c>
      <c r="Y265" s="59">
        <v>5</v>
      </c>
      <c r="Z265" s="484" t="s">
        <v>13</v>
      </c>
      <c r="AA265" s="485" t="s">
        <v>20</v>
      </c>
      <c r="AB265" s="486">
        <f t="shared" si="661"/>
        <v>2</v>
      </c>
      <c r="AC265" s="484" t="s">
        <v>33</v>
      </c>
      <c r="AD265" s="487" t="str">
        <f t="shared" ref="AD265" si="794">IFERROR(ROUNDDOWN(ROUND(L263*Q265,0),0)*AB265,"")</f>
        <v/>
      </c>
      <c r="AE265" s="488" t="str">
        <f t="shared" si="739"/>
        <v/>
      </c>
      <c r="AF265" s="489">
        <f t="shared" si="759"/>
        <v>0</v>
      </c>
      <c r="AG265" s="368"/>
      <c r="AH265" s="369"/>
      <c r="AI265" s="370"/>
      <c r="AJ265" s="371"/>
      <c r="AK265" s="372"/>
      <c r="AL265" s="373"/>
      <c r="AM265" s="490"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1" t="str">
        <f>IF(K263&lt;&gt;"","P列・R列に色付け","")</f>
        <v/>
      </c>
      <c r="AP265" s="492"/>
      <c r="AQ265" s="492"/>
      <c r="AW265" s="493"/>
      <c r="AX265" s="452" t="str">
        <f>G263</f>
        <v/>
      </c>
    </row>
    <row r="266" spans="1:50" ht="32.1" customHeight="1">
      <c r="A266" s="1266">
        <v>85</v>
      </c>
      <c r="B266" s="1203" t="str">
        <f>IF(基本情報入力シート!C138="","",基本情報入力シート!C138)</f>
        <v/>
      </c>
      <c r="C266" s="1203"/>
      <c r="D266" s="1203"/>
      <c r="E266" s="1203"/>
      <c r="F266" s="1203"/>
      <c r="G266" s="1206" t="str">
        <f>IF(基本情報入力シート!M138="","",基本情報入力シート!M138)</f>
        <v/>
      </c>
      <c r="H266" s="1206" t="str">
        <f>IF(基本情報入力シート!R138="","",基本情報入力シート!R138)</f>
        <v/>
      </c>
      <c r="I266" s="1206" t="str">
        <f>IF(基本情報入力シート!W138="","",基本情報入力シート!W138)</f>
        <v/>
      </c>
      <c r="J266" s="1206" t="str">
        <f>IF(基本情報入力シート!X138="","",基本情報入力シート!X138)</f>
        <v/>
      </c>
      <c r="K266" s="1206" t="str">
        <f>IF(基本情報入力シート!Y138="","",基本情報入力シート!Y138)</f>
        <v/>
      </c>
      <c r="L266" s="1209" t="str">
        <f>IF(基本情報入力シート!AB138="","",基本情報入力シート!AB138)</f>
        <v/>
      </c>
      <c r="M266" s="456" t="s">
        <v>132</v>
      </c>
      <c r="N266" s="75"/>
      <c r="O266" s="457" t="str">
        <f>IFERROR(VLOOKUP(K266,【参考】数式用!$A$5:$J$37,MATCH(N266,【参考】数式用!$B$4:$J$4,0)+1,0),"")</f>
        <v/>
      </c>
      <c r="P266" s="75"/>
      <c r="Q266" s="457" t="str">
        <f>IFERROR(VLOOKUP(K266,【参考】数式用!$A$5:$J$37,MATCH(P266,【参考】数式用!$B$4:$J$4,0)+1,0),"")</f>
        <v/>
      </c>
      <c r="R266" s="458" t="s">
        <v>15</v>
      </c>
      <c r="S266" s="459">
        <v>6</v>
      </c>
      <c r="T266" s="125" t="s">
        <v>10</v>
      </c>
      <c r="U266" s="39">
        <v>4</v>
      </c>
      <c r="V266" s="125" t="s">
        <v>38</v>
      </c>
      <c r="W266" s="459">
        <v>6</v>
      </c>
      <c r="X266" s="125" t="s">
        <v>10</v>
      </c>
      <c r="Y266" s="39">
        <v>5</v>
      </c>
      <c r="Z266" s="125" t="s">
        <v>13</v>
      </c>
      <c r="AA266" s="460" t="s">
        <v>20</v>
      </c>
      <c r="AB266" s="461">
        <f t="shared" si="661"/>
        <v>2</v>
      </c>
      <c r="AC266" s="125" t="s">
        <v>33</v>
      </c>
      <c r="AD266" s="462" t="str">
        <f t="shared" ref="AD266" si="796">IFERROR(ROUNDDOWN(ROUND(L266*Q266,0),0)*AB266,"")</f>
        <v/>
      </c>
      <c r="AE266" s="463" t="str">
        <f t="shared" ref="AE266" si="797">IFERROR(ROUNDDOWN(ROUND(L266*(Q266-O266),0),0)*AB266,"")</f>
        <v/>
      </c>
      <c r="AF266" s="464"/>
      <c r="AG266" s="374"/>
      <c r="AH266" s="382"/>
      <c r="AI266" s="379"/>
      <c r="AJ266" s="380"/>
      <c r="AK266" s="360"/>
      <c r="AL266" s="361"/>
      <c r="AM266" s="465" t="str">
        <f t="shared" ref="AM266" si="798">IF(AO266="","",IF(Q266&lt;O266,"！加算の要件上は問題ありませんが、令和６年３月と比較して４・５月に加算率が下がる計画になっています。",""))</f>
        <v/>
      </c>
      <c r="AO266" s="466" t="str">
        <f>IF(K266&lt;&gt;"","P列・R列に色付け","")</f>
        <v/>
      </c>
      <c r="AP266" s="467" t="str">
        <f>IFERROR(VLOOKUP(K266,【参考】数式用!$AH$2:$AI$34,2,FALSE),"")</f>
        <v/>
      </c>
      <c r="AQ266" s="469" t="str">
        <f>P266&amp;P267&amp;P268</f>
        <v/>
      </c>
      <c r="AR266" s="467" t="str">
        <f t="shared" ref="AR266" si="799">IF(AF268&lt;&gt;0,IF(AG268="○","入力済","未入力"),"")</f>
        <v/>
      </c>
      <c r="AS266" s="468" t="str">
        <f>IF(OR(P266="処遇加算Ⅰ",P266="処遇加算Ⅱ"),IF(OR(AH266="○",AH266="令和６年度中に満たす"),"入力済","未入力"),"")</f>
        <v/>
      </c>
      <c r="AT266" s="469" t="str">
        <f>IF(P266="処遇加算Ⅲ",IF(AI266="○","入力済","未入力"),"")</f>
        <v/>
      </c>
      <c r="AU266" s="467" t="str">
        <f>IF(P266="処遇加算Ⅰ",IF(OR(AJ266="○",AJ266="令和６年度中に満たす"),"入力済","未入力"),"")</f>
        <v/>
      </c>
      <c r="AV266" s="467" t="str">
        <f t="shared" ref="AV266" si="800">IF(OR(P267="特定加算Ⅰ",P267="特定加算Ⅱ"),1,"")</f>
        <v/>
      </c>
      <c r="AW266" s="452" t="str">
        <f>IF(P267="特定加算Ⅰ",IF(AL267="","未入力","入力済"),"")</f>
        <v/>
      </c>
      <c r="AX266" s="452" t="str">
        <f>G266</f>
        <v/>
      </c>
    </row>
    <row r="267" spans="1:50" ht="32.1" customHeight="1">
      <c r="A267" s="1267"/>
      <c r="B267" s="1204"/>
      <c r="C267" s="1204"/>
      <c r="D267" s="1204"/>
      <c r="E267" s="1204"/>
      <c r="F267" s="1204"/>
      <c r="G267" s="1207"/>
      <c r="H267" s="1207"/>
      <c r="I267" s="1207"/>
      <c r="J267" s="1207"/>
      <c r="K267" s="1207"/>
      <c r="L267" s="1210"/>
      <c r="M267" s="470" t="s">
        <v>121</v>
      </c>
      <c r="N267" s="76"/>
      <c r="O267" s="471" t="str">
        <f>IFERROR(VLOOKUP(K266,【参考】数式用!$A$5:$J$37,MATCH(N267,【参考】数式用!$B$4:$J$4,0)+1,0),"")</f>
        <v/>
      </c>
      <c r="P267" s="76"/>
      <c r="Q267" s="471" t="str">
        <f>IFERROR(VLOOKUP(K266,【参考】数式用!$A$5:$J$37,MATCH(P267,【参考】数式用!$B$4:$J$4,0)+1,0),"")</f>
        <v/>
      </c>
      <c r="R267" s="96" t="s">
        <v>15</v>
      </c>
      <c r="S267" s="472">
        <v>6</v>
      </c>
      <c r="T267" s="97" t="s">
        <v>10</v>
      </c>
      <c r="U267" s="58">
        <v>4</v>
      </c>
      <c r="V267" s="97" t="s">
        <v>38</v>
      </c>
      <c r="W267" s="472">
        <v>6</v>
      </c>
      <c r="X267" s="97" t="s">
        <v>10</v>
      </c>
      <c r="Y267" s="58">
        <v>5</v>
      </c>
      <c r="Z267" s="97" t="s">
        <v>13</v>
      </c>
      <c r="AA267" s="473" t="s">
        <v>20</v>
      </c>
      <c r="AB267" s="474">
        <f t="shared" si="661"/>
        <v>2</v>
      </c>
      <c r="AC267" s="97" t="s">
        <v>33</v>
      </c>
      <c r="AD267" s="475" t="str">
        <f t="shared" ref="AD267" si="801">IFERROR(ROUNDDOWN(ROUND(L266*Q267,0),0)*AB267,"")</f>
        <v/>
      </c>
      <c r="AE267" s="476" t="str">
        <f t="shared" ref="AE267" si="802">IFERROR(ROUNDDOWN(ROUND(L266*(Q267-O267),0),0)*AB267,"")</f>
        <v/>
      </c>
      <c r="AF267" s="477"/>
      <c r="AG267" s="362"/>
      <c r="AH267" s="363"/>
      <c r="AI267" s="364"/>
      <c r="AJ267" s="365"/>
      <c r="AK267" s="366"/>
      <c r="AL267" s="367"/>
      <c r="AM267" s="478"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79"/>
      <c r="AO267" s="466" t="str">
        <f>IF(K266&lt;&gt;"","P列・R列に色付け","")</f>
        <v/>
      </c>
      <c r="AX267" s="452" t="str">
        <f>G266</f>
        <v/>
      </c>
    </row>
    <row r="268" spans="1:50" ht="32.1" customHeight="1" thickBot="1">
      <c r="A268" s="1268"/>
      <c r="B268" s="1205"/>
      <c r="C268" s="1205"/>
      <c r="D268" s="1205"/>
      <c r="E268" s="1205"/>
      <c r="F268" s="1205"/>
      <c r="G268" s="1208"/>
      <c r="H268" s="1208"/>
      <c r="I268" s="1208"/>
      <c r="J268" s="1208"/>
      <c r="K268" s="1208"/>
      <c r="L268" s="1211"/>
      <c r="M268" s="480" t="s">
        <v>114</v>
      </c>
      <c r="N268" s="79"/>
      <c r="O268" s="481" t="str">
        <f>IFERROR(VLOOKUP(K266,【参考】数式用!$A$5:$J$37,MATCH(N268,【参考】数式用!$B$4:$J$4,0)+1,0),"")</f>
        <v/>
      </c>
      <c r="P268" s="77"/>
      <c r="Q268" s="481" t="str">
        <f>IFERROR(VLOOKUP(K266,【参考】数式用!$A$5:$J$37,MATCH(P268,【参考】数式用!$B$4:$J$4,0)+1,0),"")</f>
        <v/>
      </c>
      <c r="R268" s="482" t="s">
        <v>15</v>
      </c>
      <c r="S268" s="483">
        <v>6</v>
      </c>
      <c r="T268" s="484" t="s">
        <v>10</v>
      </c>
      <c r="U268" s="59">
        <v>4</v>
      </c>
      <c r="V268" s="484" t="s">
        <v>38</v>
      </c>
      <c r="W268" s="483">
        <v>6</v>
      </c>
      <c r="X268" s="484" t="s">
        <v>10</v>
      </c>
      <c r="Y268" s="59">
        <v>5</v>
      </c>
      <c r="Z268" s="484" t="s">
        <v>13</v>
      </c>
      <c r="AA268" s="485" t="s">
        <v>20</v>
      </c>
      <c r="AB268" s="486">
        <f t="shared" si="661"/>
        <v>2</v>
      </c>
      <c r="AC268" s="484" t="s">
        <v>33</v>
      </c>
      <c r="AD268" s="487" t="str">
        <f t="shared" ref="AD268" si="804">IFERROR(ROUNDDOWN(ROUND(L266*Q268,0),0)*AB268,"")</f>
        <v/>
      </c>
      <c r="AE268" s="488" t="str">
        <f t="shared" ref="AE268" si="805">IFERROR(ROUNDDOWN(ROUND(L266*(Q268-O268),0),0)*AB268,"")</f>
        <v/>
      </c>
      <c r="AF268" s="489">
        <f t="shared" si="759"/>
        <v>0</v>
      </c>
      <c r="AG268" s="368"/>
      <c r="AH268" s="369"/>
      <c r="AI268" s="370"/>
      <c r="AJ268" s="371"/>
      <c r="AK268" s="372"/>
      <c r="AL268" s="373"/>
      <c r="AM268" s="490"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1" t="str">
        <f>IF(K266&lt;&gt;"","P列・R列に色付け","")</f>
        <v/>
      </c>
      <c r="AP268" s="492"/>
      <c r="AQ268" s="492"/>
      <c r="AW268" s="493"/>
      <c r="AX268" s="452" t="str">
        <f>G266</f>
        <v/>
      </c>
    </row>
    <row r="269" spans="1:50" ht="32.1" customHeight="1">
      <c r="A269" s="1266">
        <v>86</v>
      </c>
      <c r="B269" s="1203" t="str">
        <f>IF(基本情報入力シート!C139="","",基本情報入力シート!C139)</f>
        <v/>
      </c>
      <c r="C269" s="1203"/>
      <c r="D269" s="1203"/>
      <c r="E269" s="1203"/>
      <c r="F269" s="1203"/>
      <c r="G269" s="1206" t="str">
        <f>IF(基本情報入力シート!M139="","",基本情報入力シート!M139)</f>
        <v/>
      </c>
      <c r="H269" s="1206" t="str">
        <f>IF(基本情報入力シート!R139="","",基本情報入力シート!R139)</f>
        <v/>
      </c>
      <c r="I269" s="1206" t="str">
        <f>IF(基本情報入力シート!W139="","",基本情報入力シート!W139)</f>
        <v/>
      </c>
      <c r="J269" s="1206" t="str">
        <f>IF(基本情報入力シート!X139="","",基本情報入力シート!X139)</f>
        <v/>
      </c>
      <c r="K269" s="1206" t="str">
        <f>IF(基本情報入力シート!Y139="","",基本情報入力シート!Y139)</f>
        <v/>
      </c>
      <c r="L269" s="1209" t="str">
        <f>IF(基本情報入力シート!AB139="","",基本情報入力シート!AB139)</f>
        <v/>
      </c>
      <c r="M269" s="456" t="s">
        <v>132</v>
      </c>
      <c r="N269" s="75"/>
      <c r="O269" s="457" t="str">
        <f>IFERROR(VLOOKUP(K269,【参考】数式用!$A$5:$J$37,MATCH(N269,【参考】数式用!$B$4:$J$4,0)+1,0),"")</f>
        <v/>
      </c>
      <c r="P269" s="75"/>
      <c r="Q269" s="457" t="str">
        <f>IFERROR(VLOOKUP(K269,【参考】数式用!$A$5:$J$37,MATCH(P269,【参考】数式用!$B$4:$J$4,0)+1,0),"")</f>
        <v/>
      </c>
      <c r="R269" s="458" t="s">
        <v>15</v>
      </c>
      <c r="S269" s="459">
        <v>6</v>
      </c>
      <c r="T269" s="125" t="s">
        <v>10</v>
      </c>
      <c r="U269" s="39">
        <v>4</v>
      </c>
      <c r="V269" s="125" t="s">
        <v>38</v>
      </c>
      <c r="W269" s="459">
        <v>6</v>
      </c>
      <c r="X269" s="125" t="s">
        <v>10</v>
      </c>
      <c r="Y269" s="39">
        <v>5</v>
      </c>
      <c r="Z269" s="125" t="s">
        <v>13</v>
      </c>
      <c r="AA269" s="460" t="s">
        <v>20</v>
      </c>
      <c r="AB269" s="461">
        <f t="shared" si="661"/>
        <v>2</v>
      </c>
      <c r="AC269" s="125" t="s">
        <v>33</v>
      </c>
      <c r="AD269" s="462" t="str">
        <f t="shared" ref="AD269" si="807">IFERROR(ROUNDDOWN(ROUND(L269*Q269,0),0)*AB269,"")</f>
        <v/>
      </c>
      <c r="AE269" s="463" t="str">
        <f t="shared" si="720"/>
        <v/>
      </c>
      <c r="AF269" s="464"/>
      <c r="AG269" s="374"/>
      <c r="AH269" s="382"/>
      <c r="AI269" s="379"/>
      <c r="AJ269" s="380"/>
      <c r="AK269" s="360"/>
      <c r="AL269" s="361"/>
      <c r="AM269" s="465" t="str">
        <f t="shared" ref="AM269" si="808">IF(AO269="","",IF(Q269&lt;O269,"！加算の要件上は問題ありませんが、令和６年３月と比較して４・５月に加算率が下がる計画になっています。",""))</f>
        <v/>
      </c>
      <c r="AO269" s="466" t="str">
        <f>IF(K269&lt;&gt;"","P列・R列に色付け","")</f>
        <v/>
      </c>
      <c r="AP269" s="467" t="str">
        <f>IFERROR(VLOOKUP(K269,【参考】数式用!$AH$2:$AI$34,2,FALSE),"")</f>
        <v/>
      </c>
      <c r="AQ269" s="469" t="str">
        <f>P269&amp;P270&amp;P271</f>
        <v/>
      </c>
      <c r="AR269" s="467" t="str">
        <f t="shared" ref="AR269" si="809">IF(AF271&lt;&gt;0,IF(AG271="○","入力済","未入力"),"")</f>
        <v/>
      </c>
      <c r="AS269" s="468" t="str">
        <f>IF(OR(P269="処遇加算Ⅰ",P269="処遇加算Ⅱ"),IF(OR(AH269="○",AH269="令和６年度中に満たす"),"入力済","未入力"),"")</f>
        <v/>
      </c>
      <c r="AT269" s="469" t="str">
        <f>IF(P269="処遇加算Ⅲ",IF(AI269="○","入力済","未入力"),"")</f>
        <v/>
      </c>
      <c r="AU269" s="467" t="str">
        <f>IF(P269="処遇加算Ⅰ",IF(OR(AJ269="○",AJ269="令和６年度中に満たす"),"入力済","未入力"),"")</f>
        <v/>
      </c>
      <c r="AV269" s="467" t="str">
        <f t="shared" ref="AV269" si="810">IF(OR(P270="特定加算Ⅰ",P270="特定加算Ⅱ"),1,"")</f>
        <v/>
      </c>
      <c r="AW269" s="452" t="str">
        <f>IF(P270="特定加算Ⅰ",IF(AL270="","未入力","入力済"),"")</f>
        <v/>
      </c>
      <c r="AX269" s="452" t="str">
        <f>G269</f>
        <v/>
      </c>
    </row>
    <row r="270" spans="1:50" ht="32.1" customHeight="1">
      <c r="A270" s="1267"/>
      <c r="B270" s="1204"/>
      <c r="C270" s="1204"/>
      <c r="D270" s="1204"/>
      <c r="E270" s="1204"/>
      <c r="F270" s="1204"/>
      <c r="G270" s="1207"/>
      <c r="H270" s="1207"/>
      <c r="I270" s="1207"/>
      <c r="J270" s="1207"/>
      <c r="K270" s="1207"/>
      <c r="L270" s="1210"/>
      <c r="M270" s="470" t="s">
        <v>121</v>
      </c>
      <c r="N270" s="76"/>
      <c r="O270" s="471" t="str">
        <f>IFERROR(VLOOKUP(K269,【参考】数式用!$A$5:$J$37,MATCH(N270,【参考】数式用!$B$4:$J$4,0)+1,0),"")</f>
        <v/>
      </c>
      <c r="P270" s="76"/>
      <c r="Q270" s="471" t="str">
        <f>IFERROR(VLOOKUP(K269,【参考】数式用!$A$5:$J$37,MATCH(P270,【参考】数式用!$B$4:$J$4,0)+1,0),"")</f>
        <v/>
      </c>
      <c r="R270" s="96" t="s">
        <v>15</v>
      </c>
      <c r="S270" s="472">
        <v>6</v>
      </c>
      <c r="T270" s="97" t="s">
        <v>10</v>
      </c>
      <c r="U270" s="58">
        <v>4</v>
      </c>
      <c r="V270" s="97" t="s">
        <v>38</v>
      </c>
      <c r="W270" s="472">
        <v>6</v>
      </c>
      <c r="X270" s="97" t="s">
        <v>10</v>
      </c>
      <c r="Y270" s="58">
        <v>5</v>
      </c>
      <c r="Z270" s="97" t="s">
        <v>13</v>
      </c>
      <c r="AA270" s="473" t="s">
        <v>20</v>
      </c>
      <c r="AB270" s="474">
        <f t="shared" si="661"/>
        <v>2</v>
      </c>
      <c r="AC270" s="97" t="s">
        <v>33</v>
      </c>
      <c r="AD270" s="475" t="str">
        <f t="shared" ref="AD270" si="811">IFERROR(ROUNDDOWN(ROUND(L269*Q270,0),0)*AB270,"")</f>
        <v/>
      </c>
      <c r="AE270" s="476" t="str">
        <f t="shared" si="725"/>
        <v/>
      </c>
      <c r="AF270" s="477"/>
      <c r="AG270" s="362"/>
      <c r="AH270" s="363"/>
      <c r="AI270" s="364"/>
      <c r="AJ270" s="365"/>
      <c r="AK270" s="366"/>
      <c r="AL270" s="367"/>
      <c r="AM270" s="478"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79"/>
      <c r="AO270" s="466" t="str">
        <f>IF(K269&lt;&gt;"","P列・R列に色付け","")</f>
        <v/>
      </c>
      <c r="AX270" s="452" t="str">
        <f>G269</f>
        <v/>
      </c>
    </row>
    <row r="271" spans="1:50" ht="32.1" customHeight="1" thickBot="1">
      <c r="A271" s="1268"/>
      <c r="B271" s="1205"/>
      <c r="C271" s="1205"/>
      <c r="D271" s="1205"/>
      <c r="E271" s="1205"/>
      <c r="F271" s="1205"/>
      <c r="G271" s="1208"/>
      <c r="H271" s="1208"/>
      <c r="I271" s="1208"/>
      <c r="J271" s="1208"/>
      <c r="K271" s="1208"/>
      <c r="L271" s="1211"/>
      <c r="M271" s="480" t="s">
        <v>114</v>
      </c>
      <c r="N271" s="79"/>
      <c r="O271" s="481" t="str">
        <f>IFERROR(VLOOKUP(K269,【参考】数式用!$A$5:$J$37,MATCH(N271,【参考】数式用!$B$4:$J$4,0)+1,0),"")</f>
        <v/>
      </c>
      <c r="P271" s="77"/>
      <c r="Q271" s="481" t="str">
        <f>IFERROR(VLOOKUP(K269,【参考】数式用!$A$5:$J$37,MATCH(P271,【参考】数式用!$B$4:$J$4,0)+1,0),"")</f>
        <v/>
      </c>
      <c r="R271" s="482" t="s">
        <v>15</v>
      </c>
      <c r="S271" s="483">
        <v>6</v>
      </c>
      <c r="T271" s="484" t="s">
        <v>10</v>
      </c>
      <c r="U271" s="59">
        <v>4</v>
      </c>
      <c r="V271" s="484" t="s">
        <v>38</v>
      </c>
      <c r="W271" s="483">
        <v>6</v>
      </c>
      <c r="X271" s="484" t="s">
        <v>10</v>
      </c>
      <c r="Y271" s="59">
        <v>5</v>
      </c>
      <c r="Z271" s="484" t="s">
        <v>13</v>
      </c>
      <c r="AA271" s="485" t="s">
        <v>20</v>
      </c>
      <c r="AB271" s="486">
        <f t="shared" si="661"/>
        <v>2</v>
      </c>
      <c r="AC271" s="484" t="s">
        <v>33</v>
      </c>
      <c r="AD271" s="487" t="str">
        <f t="shared" ref="AD271" si="813">IFERROR(ROUNDDOWN(ROUND(L269*Q271,0),0)*AB271,"")</f>
        <v/>
      </c>
      <c r="AE271" s="488" t="str">
        <f t="shared" si="728"/>
        <v/>
      </c>
      <c r="AF271" s="489">
        <f t="shared" si="759"/>
        <v>0</v>
      </c>
      <c r="AG271" s="368"/>
      <c r="AH271" s="369"/>
      <c r="AI271" s="370"/>
      <c r="AJ271" s="371"/>
      <c r="AK271" s="372"/>
      <c r="AL271" s="373"/>
      <c r="AM271" s="490"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1" t="str">
        <f>IF(K269&lt;&gt;"","P列・R列に色付け","")</f>
        <v/>
      </c>
      <c r="AP271" s="492"/>
      <c r="AQ271" s="492"/>
      <c r="AW271" s="493"/>
      <c r="AX271" s="452" t="str">
        <f>G269</f>
        <v/>
      </c>
    </row>
    <row r="272" spans="1:50" ht="32.1" customHeight="1">
      <c r="A272" s="1266">
        <v>87</v>
      </c>
      <c r="B272" s="1203" t="str">
        <f>IF(基本情報入力シート!C140="","",基本情報入力シート!C140)</f>
        <v/>
      </c>
      <c r="C272" s="1203"/>
      <c r="D272" s="1203"/>
      <c r="E272" s="1203"/>
      <c r="F272" s="1203"/>
      <c r="G272" s="1206" t="str">
        <f>IF(基本情報入力シート!M140="","",基本情報入力シート!M140)</f>
        <v/>
      </c>
      <c r="H272" s="1206" t="str">
        <f>IF(基本情報入力シート!R140="","",基本情報入力シート!R140)</f>
        <v/>
      </c>
      <c r="I272" s="1206" t="str">
        <f>IF(基本情報入力シート!W140="","",基本情報入力シート!W140)</f>
        <v/>
      </c>
      <c r="J272" s="1206" t="str">
        <f>IF(基本情報入力シート!X140="","",基本情報入力シート!X140)</f>
        <v/>
      </c>
      <c r="K272" s="1206" t="str">
        <f>IF(基本情報入力シート!Y140="","",基本情報入力シート!Y140)</f>
        <v/>
      </c>
      <c r="L272" s="1209" t="str">
        <f>IF(基本情報入力シート!AB140="","",基本情報入力シート!AB140)</f>
        <v/>
      </c>
      <c r="M272" s="456" t="s">
        <v>132</v>
      </c>
      <c r="N272" s="75"/>
      <c r="O272" s="457" t="str">
        <f>IFERROR(VLOOKUP(K272,【参考】数式用!$A$5:$J$37,MATCH(N272,【参考】数式用!$B$4:$J$4,0)+1,0),"")</f>
        <v/>
      </c>
      <c r="P272" s="75"/>
      <c r="Q272" s="457" t="str">
        <f>IFERROR(VLOOKUP(K272,【参考】数式用!$A$5:$J$37,MATCH(P272,【参考】数式用!$B$4:$J$4,0)+1,0),"")</f>
        <v/>
      </c>
      <c r="R272" s="458" t="s">
        <v>15</v>
      </c>
      <c r="S272" s="459">
        <v>6</v>
      </c>
      <c r="T272" s="125" t="s">
        <v>10</v>
      </c>
      <c r="U272" s="39">
        <v>4</v>
      </c>
      <c r="V272" s="125" t="s">
        <v>38</v>
      </c>
      <c r="W272" s="459">
        <v>6</v>
      </c>
      <c r="X272" s="125" t="s">
        <v>10</v>
      </c>
      <c r="Y272" s="39">
        <v>5</v>
      </c>
      <c r="Z272" s="125" t="s">
        <v>13</v>
      </c>
      <c r="AA272" s="460" t="s">
        <v>20</v>
      </c>
      <c r="AB272" s="461">
        <f t="shared" si="661"/>
        <v>2</v>
      </c>
      <c r="AC272" s="125" t="s">
        <v>33</v>
      </c>
      <c r="AD272" s="462" t="str">
        <f t="shared" ref="AD272" si="815">IFERROR(ROUNDDOWN(ROUND(L272*Q272,0),0)*AB272,"")</f>
        <v/>
      </c>
      <c r="AE272" s="463" t="str">
        <f t="shared" si="731"/>
        <v/>
      </c>
      <c r="AF272" s="464"/>
      <c r="AG272" s="374"/>
      <c r="AH272" s="382"/>
      <c r="AI272" s="379"/>
      <c r="AJ272" s="380"/>
      <c r="AK272" s="360"/>
      <c r="AL272" s="361"/>
      <c r="AM272" s="465" t="str">
        <f t="shared" ref="AM272" si="816">IF(AO272="","",IF(Q272&lt;O272,"！加算の要件上は問題ありませんが、令和６年３月と比較して４・５月に加算率が下がる計画になっています。",""))</f>
        <v/>
      </c>
      <c r="AO272" s="466" t="str">
        <f>IF(K272&lt;&gt;"","P列・R列に色付け","")</f>
        <v/>
      </c>
      <c r="AP272" s="467" t="str">
        <f>IFERROR(VLOOKUP(K272,【参考】数式用!$AH$2:$AI$34,2,FALSE),"")</f>
        <v/>
      </c>
      <c r="AQ272" s="469" t="str">
        <f>P272&amp;P273&amp;P274</f>
        <v/>
      </c>
      <c r="AR272" s="467" t="str">
        <f t="shared" ref="AR272" si="817">IF(AF274&lt;&gt;0,IF(AG274="○","入力済","未入力"),"")</f>
        <v/>
      </c>
      <c r="AS272" s="468" t="str">
        <f>IF(OR(P272="処遇加算Ⅰ",P272="処遇加算Ⅱ"),IF(OR(AH272="○",AH272="令和６年度中に満たす"),"入力済","未入力"),"")</f>
        <v/>
      </c>
      <c r="AT272" s="469" t="str">
        <f>IF(P272="処遇加算Ⅲ",IF(AI272="○","入力済","未入力"),"")</f>
        <v/>
      </c>
      <c r="AU272" s="467" t="str">
        <f>IF(P272="処遇加算Ⅰ",IF(OR(AJ272="○",AJ272="令和６年度中に満たす"),"入力済","未入力"),"")</f>
        <v/>
      </c>
      <c r="AV272" s="467" t="str">
        <f t="shared" ref="AV272" si="818">IF(OR(P273="特定加算Ⅰ",P273="特定加算Ⅱ"),1,"")</f>
        <v/>
      </c>
      <c r="AW272" s="452" t="str">
        <f>IF(P273="特定加算Ⅰ",IF(AL273="","未入力","入力済"),"")</f>
        <v/>
      </c>
      <c r="AX272" s="452" t="str">
        <f>G272</f>
        <v/>
      </c>
    </row>
    <row r="273" spans="1:50" ht="32.1" customHeight="1">
      <c r="A273" s="1267"/>
      <c r="B273" s="1204"/>
      <c r="C273" s="1204"/>
      <c r="D273" s="1204"/>
      <c r="E273" s="1204"/>
      <c r="F273" s="1204"/>
      <c r="G273" s="1207"/>
      <c r="H273" s="1207"/>
      <c r="I273" s="1207"/>
      <c r="J273" s="1207"/>
      <c r="K273" s="1207"/>
      <c r="L273" s="1210"/>
      <c r="M273" s="470" t="s">
        <v>121</v>
      </c>
      <c r="N273" s="76"/>
      <c r="O273" s="471" t="str">
        <f>IFERROR(VLOOKUP(K272,【参考】数式用!$A$5:$J$37,MATCH(N273,【参考】数式用!$B$4:$J$4,0)+1,0),"")</f>
        <v/>
      </c>
      <c r="P273" s="76"/>
      <c r="Q273" s="471" t="str">
        <f>IFERROR(VLOOKUP(K272,【参考】数式用!$A$5:$J$37,MATCH(P273,【参考】数式用!$B$4:$J$4,0)+1,0),"")</f>
        <v/>
      </c>
      <c r="R273" s="96" t="s">
        <v>15</v>
      </c>
      <c r="S273" s="472">
        <v>6</v>
      </c>
      <c r="T273" s="97" t="s">
        <v>10</v>
      </c>
      <c r="U273" s="58">
        <v>4</v>
      </c>
      <c r="V273" s="97" t="s">
        <v>38</v>
      </c>
      <c r="W273" s="472">
        <v>6</v>
      </c>
      <c r="X273" s="97" t="s">
        <v>10</v>
      </c>
      <c r="Y273" s="58">
        <v>5</v>
      </c>
      <c r="Z273" s="97" t="s">
        <v>13</v>
      </c>
      <c r="AA273" s="473" t="s">
        <v>20</v>
      </c>
      <c r="AB273" s="474">
        <f t="shared" si="661"/>
        <v>2</v>
      </c>
      <c r="AC273" s="97" t="s">
        <v>33</v>
      </c>
      <c r="AD273" s="475" t="str">
        <f t="shared" ref="AD273" si="819">IFERROR(ROUNDDOWN(ROUND(L272*Q273,0),0)*AB273,"")</f>
        <v/>
      </c>
      <c r="AE273" s="476" t="str">
        <f t="shared" si="736"/>
        <v/>
      </c>
      <c r="AF273" s="477"/>
      <c r="AG273" s="362"/>
      <c r="AH273" s="363"/>
      <c r="AI273" s="364"/>
      <c r="AJ273" s="365"/>
      <c r="AK273" s="366"/>
      <c r="AL273" s="367"/>
      <c r="AM273" s="478"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79"/>
      <c r="AO273" s="466" t="str">
        <f>IF(K272&lt;&gt;"","P列・R列に色付け","")</f>
        <v/>
      </c>
      <c r="AX273" s="452" t="str">
        <f>G272</f>
        <v/>
      </c>
    </row>
    <row r="274" spans="1:50" ht="32.1" customHeight="1" thickBot="1">
      <c r="A274" s="1268"/>
      <c r="B274" s="1205"/>
      <c r="C274" s="1205"/>
      <c r="D274" s="1205"/>
      <c r="E274" s="1205"/>
      <c r="F274" s="1205"/>
      <c r="G274" s="1208"/>
      <c r="H274" s="1208"/>
      <c r="I274" s="1208"/>
      <c r="J274" s="1208"/>
      <c r="K274" s="1208"/>
      <c r="L274" s="1211"/>
      <c r="M274" s="480" t="s">
        <v>114</v>
      </c>
      <c r="N274" s="79"/>
      <c r="O274" s="481" t="str">
        <f>IFERROR(VLOOKUP(K272,【参考】数式用!$A$5:$J$37,MATCH(N274,【参考】数式用!$B$4:$J$4,0)+1,0),"")</f>
        <v/>
      </c>
      <c r="P274" s="77"/>
      <c r="Q274" s="481" t="str">
        <f>IFERROR(VLOOKUP(K272,【参考】数式用!$A$5:$J$37,MATCH(P274,【参考】数式用!$B$4:$J$4,0)+1,0),"")</f>
        <v/>
      </c>
      <c r="R274" s="482" t="s">
        <v>15</v>
      </c>
      <c r="S274" s="483">
        <v>6</v>
      </c>
      <c r="T274" s="484" t="s">
        <v>10</v>
      </c>
      <c r="U274" s="59">
        <v>4</v>
      </c>
      <c r="V274" s="484" t="s">
        <v>38</v>
      </c>
      <c r="W274" s="483">
        <v>6</v>
      </c>
      <c r="X274" s="484" t="s">
        <v>10</v>
      </c>
      <c r="Y274" s="59">
        <v>5</v>
      </c>
      <c r="Z274" s="484" t="s">
        <v>13</v>
      </c>
      <c r="AA274" s="485" t="s">
        <v>20</v>
      </c>
      <c r="AB274" s="486">
        <f t="shared" si="661"/>
        <v>2</v>
      </c>
      <c r="AC274" s="484" t="s">
        <v>33</v>
      </c>
      <c r="AD274" s="487" t="str">
        <f t="shared" ref="AD274" si="821">IFERROR(ROUNDDOWN(ROUND(L272*Q274,0),0)*AB274,"")</f>
        <v/>
      </c>
      <c r="AE274" s="488" t="str">
        <f t="shared" si="739"/>
        <v/>
      </c>
      <c r="AF274" s="489">
        <f t="shared" si="759"/>
        <v>0</v>
      </c>
      <c r="AG274" s="368"/>
      <c r="AH274" s="369"/>
      <c r="AI274" s="370"/>
      <c r="AJ274" s="371"/>
      <c r="AK274" s="372"/>
      <c r="AL274" s="373"/>
      <c r="AM274" s="490"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1" t="str">
        <f>IF(K272&lt;&gt;"","P列・R列に色付け","")</f>
        <v/>
      </c>
      <c r="AP274" s="492"/>
      <c r="AQ274" s="492"/>
      <c r="AW274" s="493"/>
      <c r="AX274" s="452" t="str">
        <f>G272</f>
        <v/>
      </c>
    </row>
    <row r="275" spans="1:50" ht="32.1" customHeight="1">
      <c r="A275" s="1266">
        <v>88</v>
      </c>
      <c r="B275" s="1203" t="str">
        <f>IF(基本情報入力シート!C141="","",基本情報入力シート!C141)</f>
        <v/>
      </c>
      <c r="C275" s="1203"/>
      <c r="D275" s="1203"/>
      <c r="E275" s="1203"/>
      <c r="F275" s="1203"/>
      <c r="G275" s="1206" t="str">
        <f>IF(基本情報入力シート!M141="","",基本情報入力シート!M141)</f>
        <v/>
      </c>
      <c r="H275" s="1206" t="str">
        <f>IF(基本情報入力シート!R141="","",基本情報入力シート!R141)</f>
        <v/>
      </c>
      <c r="I275" s="1206" t="str">
        <f>IF(基本情報入力シート!W141="","",基本情報入力シート!W141)</f>
        <v/>
      </c>
      <c r="J275" s="1206" t="str">
        <f>IF(基本情報入力シート!X141="","",基本情報入力シート!X141)</f>
        <v/>
      </c>
      <c r="K275" s="1206" t="str">
        <f>IF(基本情報入力シート!Y141="","",基本情報入力シート!Y141)</f>
        <v/>
      </c>
      <c r="L275" s="1209" t="str">
        <f>IF(基本情報入力シート!AB141="","",基本情報入力シート!AB141)</f>
        <v/>
      </c>
      <c r="M275" s="456" t="s">
        <v>132</v>
      </c>
      <c r="N275" s="75"/>
      <c r="O275" s="457" t="str">
        <f>IFERROR(VLOOKUP(K275,【参考】数式用!$A$5:$J$37,MATCH(N275,【参考】数式用!$B$4:$J$4,0)+1,0),"")</f>
        <v/>
      </c>
      <c r="P275" s="75"/>
      <c r="Q275" s="457" t="str">
        <f>IFERROR(VLOOKUP(K275,【参考】数式用!$A$5:$J$37,MATCH(P275,【参考】数式用!$B$4:$J$4,0)+1,0),"")</f>
        <v/>
      </c>
      <c r="R275" s="458" t="s">
        <v>15</v>
      </c>
      <c r="S275" s="459">
        <v>6</v>
      </c>
      <c r="T275" s="125" t="s">
        <v>10</v>
      </c>
      <c r="U275" s="39">
        <v>4</v>
      </c>
      <c r="V275" s="125" t="s">
        <v>38</v>
      </c>
      <c r="W275" s="459">
        <v>6</v>
      </c>
      <c r="X275" s="125" t="s">
        <v>10</v>
      </c>
      <c r="Y275" s="39">
        <v>5</v>
      </c>
      <c r="Z275" s="125" t="s">
        <v>13</v>
      </c>
      <c r="AA275" s="460" t="s">
        <v>20</v>
      </c>
      <c r="AB275" s="461">
        <f t="shared" si="661"/>
        <v>2</v>
      </c>
      <c r="AC275" s="125" t="s">
        <v>33</v>
      </c>
      <c r="AD275" s="462" t="str">
        <f t="shared" ref="AD275" si="823">IFERROR(ROUNDDOWN(ROUND(L275*Q275,0),0)*AB275,"")</f>
        <v/>
      </c>
      <c r="AE275" s="463" t="str">
        <f t="shared" ref="AE275" si="824">IFERROR(ROUNDDOWN(ROUND(L275*(Q275-O275),0),0)*AB275,"")</f>
        <v/>
      </c>
      <c r="AF275" s="464"/>
      <c r="AG275" s="374"/>
      <c r="AH275" s="382"/>
      <c r="AI275" s="379"/>
      <c r="AJ275" s="380"/>
      <c r="AK275" s="360"/>
      <c r="AL275" s="361"/>
      <c r="AM275" s="465" t="str">
        <f t="shared" ref="AM275" si="825">IF(AO275="","",IF(Q275&lt;O275,"！加算の要件上は問題ありませんが、令和６年３月と比較して４・５月に加算率が下がる計画になっています。",""))</f>
        <v/>
      </c>
      <c r="AO275" s="466" t="str">
        <f>IF(K275&lt;&gt;"","P列・R列に色付け","")</f>
        <v/>
      </c>
      <c r="AP275" s="467" t="str">
        <f>IFERROR(VLOOKUP(K275,【参考】数式用!$AH$2:$AI$34,2,FALSE),"")</f>
        <v/>
      </c>
      <c r="AQ275" s="469" t="str">
        <f>P275&amp;P276&amp;P277</f>
        <v/>
      </c>
      <c r="AR275" s="467" t="str">
        <f t="shared" ref="AR275" si="826">IF(AF277&lt;&gt;0,IF(AG277="○","入力済","未入力"),"")</f>
        <v/>
      </c>
      <c r="AS275" s="468" t="str">
        <f>IF(OR(P275="処遇加算Ⅰ",P275="処遇加算Ⅱ"),IF(OR(AH275="○",AH275="令和６年度中に満たす"),"入力済","未入力"),"")</f>
        <v/>
      </c>
      <c r="AT275" s="469" t="str">
        <f>IF(P275="処遇加算Ⅲ",IF(AI275="○","入力済","未入力"),"")</f>
        <v/>
      </c>
      <c r="AU275" s="467" t="str">
        <f>IF(P275="処遇加算Ⅰ",IF(OR(AJ275="○",AJ275="令和６年度中に満たす"),"入力済","未入力"),"")</f>
        <v/>
      </c>
      <c r="AV275" s="467" t="str">
        <f t="shared" ref="AV275" si="827">IF(OR(P276="特定加算Ⅰ",P276="特定加算Ⅱ"),1,"")</f>
        <v/>
      </c>
      <c r="AW275" s="452" t="str">
        <f>IF(P276="特定加算Ⅰ",IF(AL276="","未入力","入力済"),"")</f>
        <v/>
      </c>
      <c r="AX275" s="452" t="str">
        <f>G275</f>
        <v/>
      </c>
    </row>
    <row r="276" spans="1:50" ht="32.1" customHeight="1">
      <c r="A276" s="1267"/>
      <c r="B276" s="1204"/>
      <c r="C276" s="1204"/>
      <c r="D276" s="1204"/>
      <c r="E276" s="1204"/>
      <c r="F276" s="1204"/>
      <c r="G276" s="1207"/>
      <c r="H276" s="1207"/>
      <c r="I276" s="1207"/>
      <c r="J276" s="1207"/>
      <c r="K276" s="1207"/>
      <c r="L276" s="1210"/>
      <c r="M276" s="470" t="s">
        <v>121</v>
      </c>
      <c r="N276" s="76"/>
      <c r="O276" s="471" t="str">
        <f>IFERROR(VLOOKUP(K275,【参考】数式用!$A$5:$J$37,MATCH(N276,【参考】数式用!$B$4:$J$4,0)+1,0),"")</f>
        <v/>
      </c>
      <c r="P276" s="76"/>
      <c r="Q276" s="471" t="str">
        <f>IFERROR(VLOOKUP(K275,【参考】数式用!$A$5:$J$37,MATCH(P276,【参考】数式用!$B$4:$J$4,0)+1,0),"")</f>
        <v/>
      </c>
      <c r="R276" s="96" t="s">
        <v>15</v>
      </c>
      <c r="S276" s="472">
        <v>6</v>
      </c>
      <c r="T276" s="97" t="s">
        <v>10</v>
      </c>
      <c r="U276" s="58">
        <v>4</v>
      </c>
      <c r="V276" s="97" t="s">
        <v>38</v>
      </c>
      <c r="W276" s="472">
        <v>6</v>
      </c>
      <c r="X276" s="97" t="s">
        <v>10</v>
      </c>
      <c r="Y276" s="58">
        <v>5</v>
      </c>
      <c r="Z276" s="97" t="s">
        <v>13</v>
      </c>
      <c r="AA276" s="473" t="s">
        <v>20</v>
      </c>
      <c r="AB276" s="474">
        <f t="shared" si="661"/>
        <v>2</v>
      </c>
      <c r="AC276" s="97" t="s">
        <v>33</v>
      </c>
      <c r="AD276" s="475" t="str">
        <f t="shared" ref="AD276" si="828">IFERROR(ROUNDDOWN(ROUND(L275*Q276,0),0)*AB276,"")</f>
        <v/>
      </c>
      <c r="AE276" s="476" t="str">
        <f t="shared" ref="AE276" si="829">IFERROR(ROUNDDOWN(ROUND(L275*(Q276-O276),0),0)*AB276,"")</f>
        <v/>
      </c>
      <c r="AF276" s="477"/>
      <c r="AG276" s="362"/>
      <c r="AH276" s="363"/>
      <c r="AI276" s="364"/>
      <c r="AJ276" s="365"/>
      <c r="AK276" s="366"/>
      <c r="AL276" s="367"/>
      <c r="AM276" s="478"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79"/>
      <c r="AO276" s="466" t="str">
        <f>IF(K275&lt;&gt;"","P列・R列に色付け","")</f>
        <v/>
      </c>
      <c r="AX276" s="452" t="str">
        <f>G275</f>
        <v/>
      </c>
    </row>
    <row r="277" spans="1:50" ht="32.1" customHeight="1" thickBot="1">
      <c r="A277" s="1268"/>
      <c r="B277" s="1205"/>
      <c r="C277" s="1205"/>
      <c r="D277" s="1205"/>
      <c r="E277" s="1205"/>
      <c r="F277" s="1205"/>
      <c r="G277" s="1208"/>
      <c r="H277" s="1208"/>
      <c r="I277" s="1208"/>
      <c r="J277" s="1208"/>
      <c r="K277" s="1208"/>
      <c r="L277" s="1211"/>
      <c r="M277" s="480" t="s">
        <v>114</v>
      </c>
      <c r="N277" s="79"/>
      <c r="O277" s="481" t="str">
        <f>IFERROR(VLOOKUP(K275,【参考】数式用!$A$5:$J$37,MATCH(N277,【参考】数式用!$B$4:$J$4,0)+1,0),"")</f>
        <v/>
      </c>
      <c r="P277" s="77"/>
      <c r="Q277" s="481" t="str">
        <f>IFERROR(VLOOKUP(K275,【参考】数式用!$A$5:$J$37,MATCH(P277,【参考】数式用!$B$4:$J$4,0)+1,0),"")</f>
        <v/>
      </c>
      <c r="R277" s="482" t="s">
        <v>15</v>
      </c>
      <c r="S277" s="483">
        <v>6</v>
      </c>
      <c r="T277" s="484" t="s">
        <v>10</v>
      </c>
      <c r="U277" s="59">
        <v>4</v>
      </c>
      <c r="V277" s="484" t="s">
        <v>38</v>
      </c>
      <c r="W277" s="483">
        <v>6</v>
      </c>
      <c r="X277" s="484" t="s">
        <v>10</v>
      </c>
      <c r="Y277" s="59">
        <v>5</v>
      </c>
      <c r="Z277" s="484" t="s">
        <v>13</v>
      </c>
      <c r="AA277" s="485" t="s">
        <v>20</v>
      </c>
      <c r="AB277" s="486">
        <f t="shared" si="661"/>
        <v>2</v>
      </c>
      <c r="AC277" s="484" t="s">
        <v>33</v>
      </c>
      <c r="AD277" s="487" t="str">
        <f t="shared" ref="AD277" si="831">IFERROR(ROUNDDOWN(ROUND(L275*Q277,0),0)*AB277,"")</f>
        <v/>
      </c>
      <c r="AE277" s="488" t="str">
        <f t="shared" ref="AE277" si="832">IFERROR(ROUNDDOWN(ROUND(L275*(Q277-O277),0),0)*AB277,"")</f>
        <v/>
      </c>
      <c r="AF277" s="489">
        <f t="shared" si="759"/>
        <v>0</v>
      </c>
      <c r="AG277" s="368"/>
      <c r="AH277" s="369"/>
      <c r="AI277" s="370"/>
      <c r="AJ277" s="371"/>
      <c r="AK277" s="372"/>
      <c r="AL277" s="373"/>
      <c r="AM277" s="490"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1" t="str">
        <f>IF(K275&lt;&gt;"","P列・R列に色付け","")</f>
        <v/>
      </c>
      <c r="AP277" s="492"/>
      <c r="AQ277" s="492"/>
      <c r="AW277" s="493"/>
      <c r="AX277" s="452" t="str">
        <f>G275</f>
        <v/>
      </c>
    </row>
    <row r="278" spans="1:50" ht="32.1" customHeight="1">
      <c r="A278" s="1266">
        <v>89</v>
      </c>
      <c r="B278" s="1203" t="str">
        <f>IF(基本情報入力シート!C142="","",基本情報入力シート!C142)</f>
        <v/>
      </c>
      <c r="C278" s="1203"/>
      <c r="D278" s="1203"/>
      <c r="E278" s="1203"/>
      <c r="F278" s="1203"/>
      <c r="G278" s="1206" t="str">
        <f>IF(基本情報入力シート!M142="","",基本情報入力シート!M142)</f>
        <v/>
      </c>
      <c r="H278" s="1206" t="str">
        <f>IF(基本情報入力シート!R142="","",基本情報入力シート!R142)</f>
        <v/>
      </c>
      <c r="I278" s="1206" t="str">
        <f>IF(基本情報入力シート!W142="","",基本情報入力シート!W142)</f>
        <v/>
      </c>
      <c r="J278" s="1206" t="str">
        <f>IF(基本情報入力シート!X142="","",基本情報入力シート!X142)</f>
        <v/>
      </c>
      <c r="K278" s="1206" t="str">
        <f>IF(基本情報入力シート!Y142="","",基本情報入力シート!Y142)</f>
        <v/>
      </c>
      <c r="L278" s="1209" t="str">
        <f>IF(基本情報入力シート!AB142="","",基本情報入力シート!AB142)</f>
        <v/>
      </c>
      <c r="M278" s="456" t="s">
        <v>132</v>
      </c>
      <c r="N278" s="75"/>
      <c r="O278" s="457" t="str">
        <f>IFERROR(VLOOKUP(K278,【参考】数式用!$A$5:$J$37,MATCH(N278,【参考】数式用!$B$4:$J$4,0)+1,0),"")</f>
        <v/>
      </c>
      <c r="P278" s="75"/>
      <c r="Q278" s="457" t="str">
        <f>IFERROR(VLOOKUP(K278,【参考】数式用!$A$5:$J$37,MATCH(P278,【参考】数式用!$B$4:$J$4,0)+1,0),"")</f>
        <v/>
      </c>
      <c r="R278" s="458" t="s">
        <v>15</v>
      </c>
      <c r="S278" s="459">
        <v>6</v>
      </c>
      <c r="T278" s="125" t="s">
        <v>10</v>
      </c>
      <c r="U278" s="39">
        <v>4</v>
      </c>
      <c r="V278" s="125" t="s">
        <v>38</v>
      </c>
      <c r="W278" s="459">
        <v>6</v>
      </c>
      <c r="X278" s="125" t="s">
        <v>10</v>
      </c>
      <c r="Y278" s="39">
        <v>5</v>
      </c>
      <c r="Z278" s="125" t="s">
        <v>13</v>
      </c>
      <c r="AA278" s="460" t="s">
        <v>20</v>
      </c>
      <c r="AB278" s="461">
        <f t="shared" si="661"/>
        <v>2</v>
      </c>
      <c r="AC278" s="125" t="s">
        <v>33</v>
      </c>
      <c r="AD278" s="462" t="str">
        <f t="shared" ref="AD278" si="834">IFERROR(ROUNDDOWN(ROUND(L278*Q278,0),0)*AB278,"")</f>
        <v/>
      </c>
      <c r="AE278" s="463" t="str">
        <f t="shared" si="720"/>
        <v/>
      </c>
      <c r="AF278" s="464"/>
      <c r="AG278" s="374"/>
      <c r="AH278" s="382"/>
      <c r="AI278" s="379"/>
      <c r="AJ278" s="380"/>
      <c r="AK278" s="360"/>
      <c r="AL278" s="361"/>
      <c r="AM278" s="465" t="str">
        <f t="shared" ref="AM278" si="835">IF(AO278="","",IF(Q278&lt;O278,"！加算の要件上は問題ありませんが、令和６年３月と比較して４・５月に加算率が下がる計画になっています。",""))</f>
        <v/>
      </c>
      <c r="AO278" s="466" t="str">
        <f>IF(K278&lt;&gt;"","P列・R列に色付け","")</f>
        <v/>
      </c>
      <c r="AP278" s="467" t="str">
        <f>IFERROR(VLOOKUP(K278,【参考】数式用!$AH$2:$AI$34,2,FALSE),"")</f>
        <v/>
      </c>
      <c r="AQ278" s="469" t="str">
        <f>P278&amp;P279&amp;P280</f>
        <v/>
      </c>
      <c r="AR278" s="467" t="str">
        <f t="shared" ref="AR278" si="836">IF(AF280&lt;&gt;0,IF(AG280="○","入力済","未入力"),"")</f>
        <v/>
      </c>
      <c r="AS278" s="468" t="str">
        <f>IF(OR(P278="処遇加算Ⅰ",P278="処遇加算Ⅱ"),IF(OR(AH278="○",AH278="令和６年度中に満たす"),"入力済","未入力"),"")</f>
        <v/>
      </c>
      <c r="AT278" s="469" t="str">
        <f>IF(P278="処遇加算Ⅲ",IF(AI278="○","入力済","未入力"),"")</f>
        <v/>
      </c>
      <c r="AU278" s="467" t="str">
        <f>IF(P278="処遇加算Ⅰ",IF(OR(AJ278="○",AJ278="令和６年度中に満たす"),"入力済","未入力"),"")</f>
        <v/>
      </c>
      <c r="AV278" s="467" t="str">
        <f t="shared" ref="AV278" si="837">IF(OR(P279="特定加算Ⅰ",P279="特定加算Ⅱ"),1,"")</f>
        <v/>
      </c>
      <c r="AW278" s="452" t="str">
        <f>IF(P279="特定加算Ⅰ",IF(AL279="","未入力","入力済"),"")</f>
        <v/>
      </c>
      <c r="AX278" s="452" t="str">
        <f>G278</f>
        <v/>
      </c>
    </row>
    <row r="279" spans="1:50" ht="32.1" customHeight="1">
      <c r="A279" s="1267"/>
      <c r="B279" s="1204"/>
      <c r="C279" s="1204"/>
      <c r="D279" s="1204"/>
      <c r="E279" s="1204"/>
      <c r="F279" s="1204"/>
      <c r="G279" s="1207"/>
      <c r="H279" s="1207"/>
      <c r="I279" s="1207"/>
      <c r="J279" s="1207"/>
      <c r="K279" s="1207"/>
      <c r="L279" s="1210"/>
      <c r="M279" s="470" t="s">
        <v>121</v>
      </c>
      <c r="N279" s="76"/>
      <c r="O279" s="471" t="str">
        <f>IFERROR(VLOOKUP(K278,【参考】数式用!$A$5:$J$37,MATCH(N279,【参考】数式用!$B$4:$J$4,0)+1,0),"")</f>
        <v/>
      </c>
      <c r="P279" s="76"/>
      <c r="Q279" s="471" t="str">
        <f>IFERROR(VLOOKUP(K278,【参考】数式用!$A$5:$J$37,MATCH(P279,【参考】数式用!$B$4:$J$4,0)+1,0),"")</f>
        <v/>
      </c>
      <c r="R279" s="96" t="s">
        <v>15</v>
      </c>
      <c r="S279" s="472">
        <v>6</v>
      </c>
      <c r="T279" s="97" t="s">
        <v>10</v>
      </c>
      <c r="U279" s="58">
        <v>4</v>
      </c>
      <c r="V279" s="97" t="s">
        <v>38</v>
      </c>
      <c r="W279" s="472">
        <v>6</v>
      </c>
      <c r="X279" s="97" t="s">
        <v>10</v>
      </c>
      <c r="Y279" s="58">
        <v>5</v>
      </c>
      <c r="Z279" s="97" t="s">
        <v>13</v>
      </c>
      <c r="AA279" s="473" t="s">
        <v>20</v>
      </c>
      <c r="AB279" s="474">
        <f t="shared" si="661"/>
        <v>2</v>
      </c>
      <c r="AC279" s="97" t="s">
        <v>33</v>
      </c>
      <c r="AD279" s="475" t="str">
        <f t="shared" ref="AD279" si="838">IFERROR(ROUNDDOWN(ROUND(L278*Q279,0),0)*AB279,"")</f>
        <v/>
      </c>
      <c r="AE279" s="476" t="str">
        <f t="shared" si="725"/>
        <v/>
      </c>
      <c r="AF279" s="477"/>
      <c r="AG279" s="362"/>
      <c r="AH279" s="363"/>
      <c r="AI279" s="364"/>
      <c r="AJ279" s="365"/>
      <c r="AK279" s="366"/>
      <c r="AL279" s="367"/>
      <c r="AM279" s="478"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79"/>
      <c r="AO279" s="466" t="str">
        <f>IF(K278&lt;&gt;"","P列・R列に色付け","")</f>
        <v/>
      </c>
      <c r="AX279" s="452" t="str">
        <f>G278</f>
        <v/>
      </c>
    </row>
    <row r="280" spans="1:50" ht="32.1" customHeight="1" thickBot="1">
      <c r="A280" s="1268"/>
      <c r="B280" s="1205"/>
      <c r="C280" s="1205"/>
      <c r="D280" s="1205"/>
      <c r="E280" s="1205"/>
      <c r="F280" s="1205"/>
      <c r="G280" s="1208"/>
      <c r="H280" s="1208"/>
      <c r="I280" s="1208"/>
      <c r="J280" s="1208"/>
      <c r="K280" s="1208"/>
      <c r="L280" s="1211"/>
      <c r="M280" s="480" t="s">
        <v>114</v>
      </c>
      <c r="N280" s="79"/>
      <c r="O280" s="481" t="str">
        <f>IFERROR(VLOOKUP(K278,【参考】数式用!$A$5:$J$37,MATCH(N280,【参考】数式用!$B$4:$J$4,0)+1,0),"")</f>
        <v/>
      </c>
      <c r="P280" s="77"/>
      <c r="Q280" s="481" t="str">
        <f>IFERROR(VLOOKUP(K278,【参考】数式用!$A$5:$J$37,MATCH(P280,【参考】数式用!$B$4:$J$4,0)+1,0),"")</f>
        <v/>
      </c>
      <c r="R280" s="482" t="s">
        <v>15</v>
      </c>
      <c r="S280" s="483">
        <v>6</v>
      </c>
      <c r="T280" s="484" t="s">
        <v>10</v>
      </c>
      <c r="U280" s="59">
        <v>4</v>
      </c>
      <c r="V280" s="484" t="s">
        <v>38</v>
      </c>
      <c r="W280" s="483">
        <v>6</v>
      </c>
      <c r="X280" s="484" t="s">
        <v>10</v>
      </c>
      <c r="Y280" s="59">
        <v>5</v>
      </c>
      <c r="Z280" s="484" t="s">
        <v>13</v>
      </c>
      <c r="AA280" s="485" t="s">
        <v>20</v>
      </c>
      <c r="AB280" s="486">
        <f t="shared" si="661"/>
        <v>2</v>
      </c>
      <c r="AC280" s="484" t="s">
        <v>33</v>
      </c>
      <c r="AD280" s="487" t="str">
        <f t="shared" ref="AD280" si="840">IFERROR(ROUNDDOWN(ROUND(L278*Q280,0),0)*AB280,"")</f>
        <v/>
      </c>
      <c r="AE280" s="488" t="str">
        <f t="shared" si="728"/>
        <v/>
      </c>
      <c r="AF280" s="489">
        <f t="shared" si="759"/>
        <v>0</v>
      </c>
      <c r="AG280" s="368"/>
      <c r="AH280" s="369"/>
      <c r="AI280" s="370"/>
      <c r="AJ280" s="371"/>
      <c r="AK280" s="372"/>
      <c r="AL280" s="373"/>
      <c r="AM280" s="490"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1" t="str">
        <f>IF(K278&lt;&gt;"","P列・R列に色付け","")</f>
        <v/>
      </c>
      <c r="AP280" s="492"/>
      <c r="AQ280" s="492"/>
      <c r="AW280" s="493"/>
      <c r="AX280" s="452" t="str">
        <f>G278</f>
        <v/>
      </c>
    </row>
    <row r="281" spans="1:50" ht="32.1" customHeight="1">
      <c r="A281" s="1266">
        <v>90</v>
      </c>
      <c r="B281" s="1203" t="str">
        <f>IF(基本情報入力シート!C143="","",基本情報入力シート!C143)</f>
        <v/>
      </c>
      <c r="C281" s="1203"/>
      <c r="D281" s="1203"/>
      <c r="E281" s="1203"/>
      <c r="F281" s="1203"/>
      <c r="G281" s="1206" t="str">
        <f>IF(基本情報入力シート!M143="","",基本情報入力シート!M143)</f>
        <v/>
      </c>
      <c r="H281" s="1206" t="str">
        <f>IF(基本情報入力シート!R143="","",基本情報入力シート!R143)</f>
        <v/>
      </c>
      <c r="I281" s="1206" t="str">
        <f>IF(基本情報入力シート!W143="","",基本情報入力シート!W143)</f>
        <v/>
      </c>
      <c r="J281" s="1206" t="str">
        <f>IF(基本情報入力シート!X143="","",基本情報入力シート!X143)</f>
        <v/>
      </c>
      <c r="K281" s="1206" t="str">
        <f>IF(基本情報入力シート!Y143="","",基本情報入力シート!Y143)</f>
        <v/>
      </c>
      <c r="L281" s="1209" t="str">
        <f>IF(基本情報入力シート!AB143="","",基本情報入力シート!AB143)</f>
        <v/>
      </c>
      <c r="M281" s="456" t="s">
        <v>132</v>
      </c>
      <c r="N281" s="75"/>
      <c r="O281" s="457" t="str">
        <f>IFERROR(VLOOKUP(K281,【参考】数式用!$A$5:$J$37,MATCH(N281,【参考】数式用!$B$4:$J$4,0)+1,0),"")</f>
        <v/>
      </c>
      <c r="P281" s="75"/>
      <c r="Q281" s="457" t="str">
        <f>IFERROR(VLOOKUP(K281,【参考】数式用!$A$5:$J$37,MATCH(P281,【参考】数式用!$B$4:$J$4,0)+1,0),"")</f>
        <v/>
      </c>
      <c r="R281" s="458" t="s">
        <v>15</v>
      </c>
      <c r="S281" s="459">
        <v>6</v>
      </c>
      <c r="T281" s="125" t="s">
        <v>10</v>
      </c>
      <c r="U281" s="39">
        <v>4</v>
      </c>
      <c r="V281" s="125" t="s">
        <v>38</v>
      </c>
      <c r="W281" s="459">
        <v>6</v>
      </c>
      <c r="X281" s="125" t="s">
        <v>10</v>
      </c>
      <c r="Y281" s="39">
        <v>5</v>
      </c>
      <c r="Z281" s="125" t="s">
        <v>13</v>
      </c>
      <c r="AA281" s="460" t="s">
        <v>20</v>
      </c>
      <c r="AB281" s="461">
        <f t="shared" si="661"/>
        <v>2</v>
      </c>
      <c r="AC281" s="125" t="s">
        <v>33</v>
      </c>
      <c r="AD281" s="462" t="str">
        <f t="shared" ref="AD281" si="842">IFERROR(ROUNDDOWN(ROUND(L281*Q281,0),0)*AB281,"")</f>
        <v/>
      </c>
      <c r="AE281" s="463" t="str">
        <f t="shared" si="731"/>
        <v/>
      </c>
      <c r="AF281" s="464"/>
      <c r="AG281" s="374"/>
      <c r="AH281" s="382"/>
      <c r="AI281" s="379"/>
      <c r="AJ281" s="380"/>
      <c r="AK281" s="360"/>
      <c r="AL281" s="361"/>
      <c r="AM281" s="465" t="str">
        <f t="shared" ref="AM281" si="843">IF(AO281="","",IF(Q281&lt;O281,"！加算の要件上は問題ありませんが、令和６年３月と比較して４・５月に加算率が下がる計画になっています。",""))</f>
        <v/>
      </c>
      <c r="AO281" s="466" t="str">
        <f>IF(K281&lt;&gt;"","P列・R列に色付け","")</f>
        <v/>
      </c>
      <c r="AP281" s="467" t="str">
        <f>IFERROR(VLOOKUP(K281,【参考】数式用!$AH$2:$AI$34,2,FALSE),"")</f>
        <v/>
      </c>
      <c r="AQ281" s="469" t="str">
        <f>P281&amp;P282&amp;P283</f>
        <v/>
      </c>
      <c r="AR281" s="467" t="str">
        <f t="shared" ref="AR281" si="844">IF(AF283&lt;&gt;0,IF(AG283="○","入力済","未入力"),"")</f>
        <v/>
      </c>
      <c r="AS281" s="468" t="str">
        <f>IF(OR(P281="処遇加算Ⅰ",P281="処遇加算Ⅱ"),IF(OR(AH281="○",AH281="令和６年度中に満たす"),"入力済","未入力"),"")</f>
        <v/>
      </c>
      <c r="AT281" s="469" t="str">
        <f>IF(P281="処遇加算Ⅲ",IF(AI281="○","入力済","未入力"),"")</f>
        <v/>
      </c>
      <c r="AU281" s="467" t="str">
        <f>IF(P281="処遇加算Ⅰ",IF(OR(AJ281="○",AJ281="令和６年度中に満たす"),"入力済","未入力"),"")</f>
        <v/>
      </c>
      <c r="AV281" s="467" t="str">
        <f t="shared" ref="AV281" si="845">IF(OR(P282="特定加算Ⅰ",P282="特定加算Ⅱ"),1,"")</f>
        <v/>
      </c>
      <c r="AW281" s="452" t="str">
        <f>IF(P282="特定加算Ⅰ",IF(AL282="","未入力","入力済"),"")</f>
        <v/>
      </c>
      <c r="AX281" s="452" t="str">
        <f>G281</f>
        <v/>
      </c>
    </row>
    <row r="282" spans="1:50" ht="32.1" customHeight="1">
      <c r="A282" s="1267"/>
      <c r="B282" s="1204"/>
      <c r="C282" s="1204"/>
      <c r="D282" s="1204"/>
      <c r="E282" s="1204"/>
      <c r="F282" s="1204"/>
      <c r="G282" s="1207"/>
      <c r="H282" s="1207"/>
      <c r="I282" s="1207"/>
      <c r="J282" s="1207"/>
      <c r="K282" s="1207"/>
      <c r="L282" s="1210"/>
      <c r="M282" s="470" t="s">
        <v>121</v>
      </c>
      <c r="N282" s="76"/>
      <c r="O282" s="471" t="str">
        <f>IFERROR(VLOOKUP(K281,【参考】数式用!$A$5:$J$37,MATCH(N282,【参考】数式用!$B$4:$J$4,0)+1,0),"")</f>
        <v/>
      </c>
      <c r="P282" s="76"/>
      <c r="Q282" s="471" t="str">
        <f>IFERROR(VLOOKUP(K281,【参考】数式用!$A$5:$J$37,MATCH(P282,【参考】数式用!$B$4:$J$4,0)+1,0),"")</f>
        <v/>
      </c>
      <c r="R282" s="96" t="s">
        <v>15</v>
      </c>
      <c r="S282" s="472">
        <v>6</v>
      </c>
      <c r="T282" s="97" t="s">
        <v>10</v>
      </c>
      <c r="U282" s="58">
        <v>4</v>
      </c>
      <c r="V282" s="97" t="s">
        <v>38</v>
      </c>
      <c r="W282" s="472">
        <v>6</v>
      </c>
      <c r="X282" s="97" t="s">
        <v>10</v>
      </c>
      <c r="Y282" s="58">
        <v>5</v>
      </c>
      <c r="Z282" s="97" t="s">
        <v>13</v>
      </c>
      <c r="AA282" s="473" t="s">
        <v>20</v>
      </c>
      <c r="AB282" s="474">
        <f t="shared" si="661"/>
        <v>2</v>
      </c>
      <c r="AC282" s="97" t="s">
        <v>33</v>
      </c>
      <c r="AD282" s="475" t="str">
        <f t="shared" ref="AD282" si="846">IFERROR(ROUNDDOWN(ROUND(L281*Q282,0),0)*AB282,"")</f>
        <v/>
      </c>
      <c r="AE282" s="476" t="str">
        <f t="shared" si="736"/>
        <v/>
      </c>
      <c r="AF282" s="477"/>
      <c r="AG282" s="362"/>
      <c r="AH282" s="363"/>
      <c r="AI282" s="364"/>
      <c r="AJ282" s="365"/>
      <c r="AK282" s="366"/>
      <c r="AL282" s="367"/>
      <c r="AM282" s="478"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79"/>
      <c r="AO282" s="466" t="str">
        <f>IF(K281&lt;&gt;"","P列・R列に色付け","")</f>
        <v/>
      </c>
      <c r="AX282" s="452" t="str">
        <f>G281</f>
        <v/>
      </c>
    </row>
    <row r="283" spans="1:50" ht="32.1" customHeight="1" thickBot="1">
      <c r="A283" s="1268"/>
      <c r="B283" s="1205"/>
      <c r="C283" s="1205"/>
      <c r="D283" s="1205"/>
      <c r="E283" s="1205"/>
      <c r="F283" s="1205"/>
      <c r="G283" s="1208"/>
      <c r="H283" s="1208"/>
      <c r="I283" s="1208"/>
      <c r="J283" s="1208"/>
      <c r="K283" s="1208"/>
      <c r="L283" s="1211"/>
      <c r="M283" s="480" t="s">
        <v>114</v>
      </c>
      <c r="N283" s="79"/>
      <c r="O283" s="481" t="str">
        <f>IFERROR(VLOOKUP(K281,【参考】数式用!$A$5:$J$37,MATCH(N283,【参考】数式用!$B$4:$J$4,0)+1,0),"")</f>
        <v/>
      </c>
      <c r="P283" s="77"/>
      <c r="Q283" s="481" t="str">
        <f>IFERROR(VLOOKUP(K281,【参考】数式用!$A$5:$J$37,MATCH(P283,【参考】数式用!$B$4:$J$4,0)+1,0),"")</f>
        <v/>
      </c>
      <c r="R283" s="482" t="s">
        <v>15</v>
      </c>
      <c r="S283" s="483">
        <v>6</v>
      </c>
      <c r="T283" s="484" t="s">
        <v>10</v>
      </c>
      <c r="U283" s="59">
        <v>4</v>
      </c>
      <c r="V283" s="484" t="s">
        <v>38</v>
      </c>
      <c r="W283" s="483">
        <v>6</v>
      </c>
      <c r="X283" s="484" t="s">
        <v>10</v>
      </c>
      <c r="Y283" s="59">
        <v>5</v>
      </c>
      <c r="Z283" s="484" t="s">
        <v>13</v>
      </c>
      <c r="AA283" s="485" t="s">
        <v>20</v>
      </c>
      <c r="AB283" s="486">
        <f t="shared" si="661"/>
        <v>2</v>
      </c>
      <c r="AC283" s="484" t="s">
        <v>33</v>
      </c>
      <c r="AD283" s="487" t="str">
        <f t="shared" ref="AD283" si="848">IFERROR(ROUNDDOWN(ROUND(L281*Q283,0),0)*AB283,"")</f>
        <v/>
      </c>
      <c r="AE283" s="488" t="str">
        <f t="shared" si="739"/>
        <v/>
      </c>
      <c r="AF283" s="489">
        <f t="shared" si="759"/>
        <v>0</v>
      </c>
      <c r="AG283" s="368"/>
      <c r="AH283" s="369"/>
      <c r="AI283" s="370"/>
      <c r="AJ283" s="371"/>
      <c r="AK283" s="372"/>
      <c r="AL283" s="373"/>
      <c r="AM283" s="490"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1" t="str">
        <f>IF(K281&lt;&gt;"","P列・R列に色付け","")</f>
        <v/>
      </c>
      <c r="AP283" s="492"/>
      <c r="AQ283" s="492"/>
      <c r="AW283" s="493"/>
      <c r="AX283" s="452" t="str">
        <f>G281</f>
        <v/>
      </c>
    </row>
    <row r="284" spans="1:50" ht="32.1" customHeight="1">
      <c r="A284" s="1266">
        <v>91</v>
      </c>
      <c r="B284" s="1203" t="str">
        <f>IF(基本情報入力シート!C144="","",基本情報入力シート!C144)</f>
        <v/>
      </c>
      <c r="C284" s="1203"/>
      <c r="D284" s="1203"/>
      <c r="E284" s="1203"/>
      <c r="F284" s="1203"/>
      <c r="G284" s="1206" t="str">
        <f>IF(基本情報入力シート!M144="","",基本情報入力シート!M144)</f>
        <v/>
      </c>
      <c r="H284" s="1206" t="str">
        <f>IF(基本情報入力シート!R144="","",基本情報入力シート!R144)</f>
        <v/>
      </c>
      <c r="I284" s="1206" t="str">
        <f>IF(基本情報入力シート!W144="","",基本情報入力シート!W144)</f>
        <v/>
      </c>
      <c r="J284" s="1206" t="str">
        <f>IF(基本情報入力シート!X144="","",基本情報入力シート!X144)</f>
        <v/>
      </c>
      <c r="K284" s="1206" t="str">
        <f>IF(基本情報入力シート!Y144="","",基本情報入力シート!Y144)</f>
        <v/>
      </c>
      <c r="L284" s="1209" t="str">
        <f>IF(基本情報入力シート!AB144="","",基本情報入力シート!AB144)</f>
        <v/>
      </c>
      <c r="M284" s="456" t="s">
        <v>132</v>
      </c>
      <c r="N284" s="75"/>
      <c r="O284" s="457" t="str">
        <f>IFERROR(VLOOKUP(K284,【参考】数式用!$A$5:$J$37,MATCH(N284,【参考】数式用!$B$4:$J$4,0)+1,0),"")</f>
        <v/>
      </c>
      <c r="P284" s="75"/>
      <c r="Q284" s="457" t="str">
        <f>IFERROR(VLOOKUP(K284,【参考】数式用!$A$5:$J$37,MATCH(P284,【参考】数式用!$B$4:$J$4,0)+1,0),"")</f>
        <v/>
      </c>
      <c r="R284" s="458" t="s">
        <v>15</v>
      </c>
      <c r="S284" s="459">
        <v>6</v>
      </c>
      <c r="T284" s="125" t="s">
        <v>10</v>
      </c>
      <c r="U284" s="39">
        <v>4</v>
      </c>
      <c r="V284" s="125" t="s">
        <v>38</v>
      </c>
      <c r="W284" s="459">
        <v>6</v>
      </c>
      <c r="X284" s="125" t="s">
        <v>10</v>
      </c>
      <c r="Y284" s="39">
        <v>5</v>
      </c>
      <c r="Z284" s="125" t="s">
        <v>13</v>
      </c>
      <c r="AA284" s="460" t="s">
        <v>20</v>
      </c>
      <c r="AB284" s="461">
        <f t="shared" si="661"/>
        <v>2</v>
      </c>
      <c r="AC284" s="125" t="s">
        <v>33</v>
      </c>
      <c r="AD284" s="462" t="str">
        <f t="shared" ref="AD284" si="850">IFERROR(ROUNDDOWN(ROUND(L284*Q284,0),0)*AB284,"")</f>
        <v/>
      </c>
      <c r="AE284" s="463" t="str">
        <f t="shared" ref="AE284" si="851">IFERROR(ROUNDDOWN(ROUND(L284*(Q284-O284),0),0)*AB284,"")</f>
        <v/>
      </c>
      <c r="AF284" s="464"/>
      <c r="AG284" s="374"/>
      <c r="AH284" s="382"/>
      <c r="AI284" s="379"/>
      <c r="AJ284" s="380"/>
      <c r="AK284" s="360"/>
      <c r="AL284" s="361"/>
      <c r="AM284" s="465" t="str">
        <f t="shared" ref="AM284" si="852">IF(AO284="","",IF(Q284&lt;O284,"！加算の要件上は問題ありませんが、令和６年３月と比較して４・５月に加算率が下がる計画になっています。",""))</f>
        <v/>
      </c>
      <c r="AO284" s="466" t="str">
        <f>IF(K284&lt;&gt;"","P列・R列に色付け","")</f>
        <v/>
      </c>
      <c r="AP284" s="467" t="str">
        <f>IFERROR(VLOOKUP(K284,【参考】数式用!$AH$2:$AI$34,2,FALSE),"")</f>
        <v/>
      </c>
      <c r="AQ284" s="469" t="str">
        <f>P284&amp;P285&amp;P286</f>
        <v/>
      </c>
      <c r="AR284" s="467" t="str">
        <f t="shared" ref="AR284" si="853">IF(AF286&lt;&gt;0,IF(AG286="○","入力済","未入力"),"")</f>
        <v/>
      </c>
      <c r="AS284" s="468" t="str">
        <f>IF(OR(P284="処遇加算Ⅰ",P284="処遇加算Ⅱ"),IF(OR(AH284="○",AH284="令和６年度中に満たす"),"入力済","未入力"),"")</f>
        <v/>
      </c>
      <c r="AT284" s="469" t="str">
        <f>IF(P284="処遇加算Ⅲ",IF(AI284="○","入力済","未入力"),"")</f>
        <v/>
      </c>
      <c r="AU284" s="467" t="str">
        <f>IF(P284="処遇加算Ⅰ",IF(OR(AJ284="○",AJ284="令和６年度中に満たす"),"入力済","未入力"),"")</f>
        <v/>
      </c>
      <c r="AV284" s="467" t="str">
        <f t="shared" ref="AV284" si="854">IF(OR(P285="特定加算Ⅰ",P285="特定加算Ⅱ"),1,"")</f>
        <v/>
      </c>
      <c r="AW284" s="452" t="str">
        <f>IF(P285="特定加算Ⅰ",IF(AL285="","未入力","入力済"),"")</f>
        <v/>
      </c>
      <c r="AX284" s="452" t="str">
        <f>G284</f>
        <v/>
      </c>
    </row>
    <row r="285" spans="1:50" ht="32.1" customHeight="1">
      <c r="A285" s="1267"/>
      <c r="B285" s="1204"/>
      <c r="C285" s="1204"/>
      <c r="D285" s="1204"/>
      <c r="E285" s="1204"/>
      <c r="F285" s="1204"/>
      <c r="G285" s="1207"/>
      <c r="H285" s="1207"/>
      <c r="I285" s="1207"/>
      <c r="J285" s="1207"/>
      <c r="K285" s="1207"/>
      <c r="L285" s="1210"/>
      <c r="M285" s="470" t="s">
        <v>121</v>
      </c>
      <c r="N285" s="76"/>
      <c r="O285" s="471" t="str">
        <f>IFERROR(VLOOKUP(K284,【参考】数式用!$A$5:$J$37,MATCH(N285,【参考】数式用!$B$4:$J$4,0)+1,0),"")</f>
        <v/>
      </c>
      <c r="P285" s="76"/>
      <c r="Q285" s="471" t="str">
        <f>IFERROR(VLOOKUP(K284,【参考】数式用!$A$5:$J$37,MATCH(P285,【参考】数式用!$B$4:$J$4,0)+1,0),"")</f>
        <v/>
      </c>
      <c r="R285" s="96" t="s">
        <v>15</v>
      </c>
      <c r="S285" s="472">
        <v>6</v>
      </c>
      <c r="T285" s="97" t="s">
        <v>10</v>
      </c>
      <c r="U285" s="58">
        <v>4</v>
      </c>
      <c r="V285" s="97" t="s">
        <v>38</v>
      </c>
      <c r="W285" s="472">
        <v>6</v>
      </c>
      <c r="X285" s="97" t="s">
        <v>10</v>
      </c>
      <c r="Y285" s="58">
        <v>5</v>
      </c>
      <c r="Z285" s="97" t="s">
        <v>13</v>
      </c>
      <c r="AA285" s="473" t="s">
        <v>20</v>
      </c>
      <c r="AB285" s="474">
        <f t="shared" si="661"/>
        <v>2</v>
      </c>
      <c r="AC285" s="97" t="s">
        <v>33</v>
      </c>
      <c r="AD285" s="475" t="str">
        <f t="shared" ref="AD285" si="855">IFERROR(ROUNDDOWN(ROUND(L284*Q285,0),0)*AB285,"")</f>
        <v/>
      </c>
      <c r="AE285" s="476" t="str">
        <f t="shared" ref="AE285" si="856">IFERROR(ROUNDDOWN(ROUND(L284*(Q285-O285),0),0)*AB285,"")</f>
        <v/>
      </c>
      <c r="AF285" s="477"/>
      <c r="AG285" s="362"/>
      <c r="AH285" s="363"/>
      <c r="AI285" s="364"/>
      <c r="AJ285" s="365"/>
      <c r="AK285" s="366"/>
      <c r="AL285" s="367"/>
      <c r="AM285" s="478"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79"/>
      <c r="AO285" s="466" t="str">
        <f>IF(K284&lt;&gt;"","P列・R列に色付け","")</f>
        <v/>
      </c>
      <c r="AX285" s="452" t="str">
        <f>G284</f>
        <v/>
      </c>
    </row>
    <row r="286" spans="1:50" ht="32.1" customHeight="1" thickBot="1">
      <c r="A286" s="1268"/>
      <c r="B286" s="1205"/>
      <c r="C286" s="1205"/>
      <c r="D286" s="1205"/>
      <c r="E286" s="1205"/>
      <c r="F286" s="1205"/>
      <c r="G286" s="1208"/>
      <c r="H286" s="1208"/>
      <c r="I286" s="1208"/>
      <c r="J286" s="1208"/>
      <c r="K286" s="1208"/>
      <c r="L286" s="1211"/>
      <c r="M286" s="480" t="s">
        <v>114</v>
      </c>
      <c r="N286" s="79"/>
      <c r="O286" s="481" t="str">
        <f>IFERROR(VLOOKUP(K284,【参考】数式用!$A$5:$J$37,MATCH(N286,【参考】数式用!$B$4:$J$4,0)+1,0),"")</f>
        <v/>
      </c>
      <c r="P286" s="77"/>
      <c r="Q286" s="481" t="str">
        <f>IFERROR(VLOOKUP(K284,【参考】数式用!$A$5:$J$37,MATCH(P286,【参考】数式用!$B$4:$J$4,0)+1,0),"")</f>
        <v/>
      </c>
      <c r="R286" s="482" t="s">
        <v>15</v>
      </c>
      <c r="S286" s="483">
        <v>6</v>
      </c>
      <c r="T286" s="484" t="s">
        <v>10</v>
      </c>
      <c r="U286" s="59">
        <v>4</v>
      </c>
      <c r="V286" s="484" t="s">
        <v>38</v>
      </c>
      <c r="W286" s="483">
        <v>6</v>
      </c>
      <c r="X286" s="484" t="s">
        <v>10</v>
      </c>
      <c r="Y286" s="59">
        <v>5</v>
      </c>
      <c r="Z286" s="484" t="s">
        <v>13</v>
      </c>
      <c r="AA286" s="485" t="s">
        <v>20</v>
      </c>
      <c r="AB286" s="486">
        <f t="shared" si="661"/>
        <v>2</v>
      </c>
      <c r="AC286" s="484" t="s">
        <v>33</v>
      </c>
      <c r="AD286" s="487" t="str">
        <f t="shared" ref="AD286" si="858">IFERROR(ROUNDDOWN(ROUND(L284*Q286,0),0)*AB286,"")</f>
        <v/>
      </c>
      <c r="AE286" s="488" t="str">
        <f t="shared" ref="AE286" si="859">IFERROR(ROUNDDOWN(ROUND(L284*(Q286-O286),0),0)*AB286,"")</f>
        <v/>
      </c>
      <c r="AF286" s="489">
        <f t="shared" si="759"/>
        <v>0</v>
      </c>
      <c r="AG286" s="368"/>
      <c r="AH286" s="369"/>
      <c r="AI286" s="370"/>
      <c r="AJ286" s="371"/>
      <c r="AK286" s="372"/>
      <c r="AL286" s="373"/>
      <c r="AM286" s="490"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1" t="str">
        <f>IF(K284&lt;&gt;"","P列・R列に色付け","")</f>
        <v/>
      </c>
      <c r="AP286" s="492"/>
      <c r="AQ286" s="492"/>
      <c r="AW286" s="493"/>
      <c r="AX286" s="452" t="str">
        <f>G284</f>
        <v/>
      </c>
    </row>
    <row r="287" spans="1:50" ht="32.1" customHeight="1">
      <c r="A287" s="1266">
        <v>92</v>
      </c>
      <c r="B287" s="1203" t="str">
        <f>IF(基本情報入力シート!C145="","",基本情報入力シート!C145)</f>
        <v/>
      </c>
      <c r="C287" s="1203"/>
      <c r="D287" s="1203"/>
      <c r="E287" s="1203"/>
      <c r="F287" s="1203"/>
      <c r="G287" s="1206" t="str">
        <f>IF(基本情報入力シート!M145="","",基本情報入力シート!M145)</f>
        <v/>
      </c>
      <c r="H287" s="1206" t="str">
        <f>IF(基本情報入力シート!R145="","",基本情報入力シート!R145)</f>
        <v/>
      </c>
      <c r="I287" s="1206" t="str">
        <f>IF(基本情報入力シート!W145="","",基本情報入力シート!W145)</f>
        <v/>
      </c>
      <c r="J287" s="1206" t="str">
        <f>IF(基本情報入力シート!X145="","",基本情報入力シート!X145)</f>
        <v/>
      </c>
      <c r="K287" s="1206" t="str">
        <f>IF(基本情報入力シート!Y145="","",基本情報入力シート!Y145)</f>
        <v/>
      </c>
      <c r="L287" s="1209" t="str">
        <f>IF(基本情報入力シート!AB145="","",基本情報入力シート!AB145)</f>
        <v/>
      </c>
      <c r="M287" s="456" t="s">
        <v>132</v>
      </c>
      <c r="N287" s="75"/>
      <c r="O287" s="457" t="str">
        <f>IFERROR(VLOOKUP(K287,【参考】数式用!$A$5:$J$37,MATCH(N287,【参考】数式用!$B$4:$J$4,0)+1,0),"")</f>
        <v/>
      </c>
      <c r="P287" s="75"/>
      <c r="Q287" s="457" t="str">
        <f>IFERROR(VLOOKUP(K287,【参考】数式用!$A$5:$J$37,MATCH(P287,【参考】数式用!$B$4:$J$4,0)+1,0),"")</f>
        <v/>
      </c>
      <c r="R287" s="458" t="s">
        <v>15</v>
      </c>
      <c r="S287" s="459">
        <v>6</v>
      </c>
      <c r="T287" s="125" t="s">
        <v>10</v>
      </c>
      <c r="U287" s="39">
        <v>4</v>
      </c>
      <c r="V287" s="125" t="s">
        <v>38</v>
      </c>
      <c r="W287" s="459">
        <v>6</v>
      </c>
      <c r="X287" s="125" t="s">
        <v>10</v>
      </c>
      <c r="Y287" s="39">
        <v>5</v>
      </c>
      <c r="Z287" s="125" t="s">
        <v>13</v>
      </c>
      <c r="AA287" s="460" t="s">
        <v>20</v>
      </c>
      <c r="AB287" s="461">
        <f t="shared" ref="AB287:AB313" si="861">IF(U287&gt;=1,(W287*12+Y287)-(S287*12+U287)+1,"")</f>
        <v>2</v>
      </c>
      <c r="AC287" s="125" t="s">
        <v>33</v>
      </c>
      <c r="AD287" s="462" t="str">
        <f t="shared" ref="AD287" si="862">IFERROR(ROUNDDOWN(ROUND(L287*Q287,0),0)*AB287,"")</f>
        <v/>
      </c>
      <c r="AE287" s="463" t="str">
        <f t="shared" si="720"/>
        <v/>
      </c>
      <c r="AF287" s="464"/>
      <c r="AG287" s="374"/>
      <c r="AH287" s="382"/>
      <c r="AI287" s="379"/>
      <c r="AJ287" s="380"/>
      <c r="AK287" s="360"/>
      <c r="AL287" s="361"/>
      <c r="AM287" s="465" t="str">
        <f t="shared" ref="AM287" si="863">IF(AO287="","",IF(Q287&lt;O287,"！加算の要件上は問題ありませんが、令和６年３月と比較して４・５月に加算率が下がる計画になっています。",""))</f>
        <v/>
      </c>
      <c r="AO287" s="466" t="str">
        <f>IF(K287&lt;&gt;"","P列・R列に色付け","")</f>
        <v/>
      </c>
      <c r="AP287" s="467" t="str">
        <f>IFERROR(VLOOKUP(K287,【参考】数式用!$AH$2:$AI$34,2,FALSE),"")</f>
        <v/>
      </c>
      <c r="AQ287" s="469" t="str">
        <f>P287&amp;P288&amp;P289</f>
        <v/>
      </c>
      <c r="AR287" s="467" t="str">
        <f t="shared" ref="AR287" si="864">IF(AF289&lt;&gt;0,IF(AG289="○","入力済","未入力"),"")</f>
        <v/>
      </c>
      <c r="AS287" s="468" t="str">
        <f>IF(OR(P287="処遇加算Ⅰ",P287="処遇加算Ⅱ"),IF(OR(AH287="○",AH287="令和６年度中に満たす"),"入力済","未入力"),"")</f>
        <v/>
      </c>
      <c r="AT287" s="469" t="str">
        <f>IF(P287="処遇加算Ⅲ",IF(AI287="○","入力済","未入力"),"")</f>
        <v/>
      </c>
      <c r="AU287" s="467" t="str">
        <f>IF(P287="処遇加算Ⅰ",IF(OR(AJ287="○",AJ287="令和６年度中に満たす"),"入力済","未入力"),"")</f>
        <v/>
      </c>
      <c r="AV287" s="467" t="str">
        <f t="shared" ref="AV287" si="865">IF(OR(P288="特定加算Ⅰ",P288="特定加算Ⅱ"),1,"")</f>
        <v/>
      </c>
      <c r="AW287" s="452" t="str">
        <f>IF(P288="特定加算Ⅰ",IF(AL288="","未入力","入力済"),"")</f>
        <v/>
      </c>
      <c r="AX287" s="452" t="str">
        <f>G287</f>
        <v/>
      </c>
    </row>
    <row r="288" spans="1:50" ht="32.1" customHeight="1">
      <c r="A288" s="1267"/>
      <c r="B288" s="1204"/>
      <c r="C288" s="1204"/>
      <c r="D288" s="1204"/>
      <c r="E288" s="1204"/>
      <c r="F288" s="1204"/>
      <c r="G288" s="1207"/>
      <c r="H288" s="1207"/>
      <c r="I288" s="1207"/>
      <c r="J288" s="1207"/>
      <c r="K288" s="1207"/>
      <c r="L288" s="1210"/>
      <c r="M288" s="470" t="s">
        <v>121</v>
      </c>
      <c r="N288" s="76"/>
      <c r="O288" s="471" t="str">
        <f>IFERROR(VLOOKUP(K287,【参考】数式用!$A$5:$J$37,MATCH(N288,【参考】数式用!$B$4:$J$4,0)+1,0),"")</f>
        <v/>
      </c>
      <c r="P288" s="76"/>
      <c r="Q288" s="471" t="str">
        <f>IFERROR(VLOOKUP(K287,【参考】数式用!$A$5:$J$37,MATCH(P288,【参考】数式用!$B$4:$J$4,0)+1,0),"")</f>
        <v/>
      </c>
      <c r="R288" s="96" t="s">
        <v>15</v>
      </c>
      <c r="S288" s="472">
        <v>6</v>
      </c>
      <c r="T288" s="97" t="s">
        <v>10</v>
      </c>
      <c r="U288" s="58">
        <v>4</v>
      </c>
      <c r="V288" s="97" t="s">
        <v>38</v>
      </c>
      <c r="W288" s="472">
        <v>6</v>
      </c>
      <c r="X288" s="97" t="s">
        <v>10</v>
      </c>
      <c r="Y288" s="58">
        <v>5</v>
      </c>
      <c r="Z288" s="97" t="s">
        <v>13</v>
      </c>
      <c r="AA288" s="473" t="s">
        <v>20</v>
      </c>
      <c r="AB288" s="474">
        <f t="shared" si="861"/>
        <v>2</v>
      </c>
      <c r="AC288" s="97" t="s">
        <v>33</v>
      </c>
      <c r="AD288" s="475" t="str">
        <f t="shared" ref="AD288" si="866">IFERROR(ROUNDDOWN(ROUND(L287*Q288,0),0)*AB288,"")</f>
        <v/>
      </c>
      <c r="AE288" s="476" t="str">
        <f t="shared" si="725"/>
        <v/>
      </c>
      <c r="AF288" s="477"/>
      <c r="AG288" s="362"/>
      <c r="AH288" s="363"/>
      <c r="AI288" s="364"/>
      <c r="AJ288" s="365"/>
      <c r="AK288" s="366"/>
      <c r="AL288" s="367"/>
      <c r="AM288" s="478"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79"/>
      <c r="AO288" s="466" t="str">
        <f>IF(K287&lt;&gt;"","P列・R列に色付け","")</f>
        <v/>
      </c>
      <c r="AX288" s="452" t="str">
        <f>G287</f>
        <v/>
      </c>
    </row>
    <row r="289" spans="1:50" ht="32.1" customHeight="1" thickBot="1">
      <c r="A289" s="1268"/>
      <c r="B289" s="1205"/>
      <c r="C289" s="1205"/>
      <c r="D289" s="1205"/>
      <c r="E289" s="1205"/>
      <c r="F289" s="1205"/>
      <c r="G289" s="1208"/>
      <c r="H289" s="1208"/>
      <c r="I289" s="1208"/>
      <c r="J289" s="1208"/>
      <c r="K289" s="1208"/>
      <c r="L289" s="1211"/>
      <c r="M289" s="480" t="s">
        <v>114</v>
      </c>
      <c r="N289" s="79"/>
      <c r="O289" s="481" t="str">
        <f>IFERROR(VLOOKUP(K287,【参考】数式用!$A$5:$J$37,MATCH(N289,【参考】数式用!$B$4:$J$4,0)+1,0),"")</f>
        <v/>
      </c>
      <c r="P289" s="77"/>
      <c r="Q289" s="481" t="str">
        <f>IFERROR(VLOOKUP(K287,【参考】数式用!$A$5:$J$37,MATCH(P289,【参考】数式用!$B$4:$J$4,0)+1,0),"")</f>
        <v/>
      </c>
      <c r="R289" s="482" t="s">
        <v>15</v>
      </c>
      <c r="S289" s="483">
        <v>6</v>
      </c>
      <c r="T289" s="484" t="s">
        <v>10</v>
      </c>
      <c r="U289" s="59">
        <v>4</v>
      </c>
      <c r="V289" s="484" t="s">
        <v>38</v>
      </c>
      <c r="W289" s="483">
        <v>6</v>
      </c>
      <c r="X289" s="484" t="s">
        <v>10</v>
      </c>
      <c r="Y289" s="59">
        <v>5</v>
      </c>
      <c r="Z289" s="484" t="s">
        <v>13</v>
      </c>
      <c r="AA289" s="485" t="s">
        <v>20</v>
      </c>
      <c r="AB289" s="486">
        <f t="shared" si="861"/>
        <v>2</v>
      </c>
      <c r="AC289" s="484" t="s">
        <v>33</v>
      </c>
      <c r="AD289" s="487" t="str">
        <f t="shared" ref="AD289" si="868">IFERROR(ROUNDDOWN(ROUND(L287*Q289,0),0)*AB289,"")</f>
        <v/>
      </c>
      <c r="AE289" s="488" t="str">
        <f t="shared" si="728"/>
        <v/>
      </c>
      <c r="AF289" s="489">
        <f t="shared" si="759"/>
        <v>0</v>
      </c>
      <c r="AG289" s="368"/>
      <c r="AH289" s="369"/>
      <c r="AI289" s="370"/>
      <c r="AJ289" s="371"/>
      <c r="AK289" s="372"/>
      <c r="AL289" s="373"/>
      <c r="AM289" s="490"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1" t="str">
        <f>IF(K287&lt;&gt;"","P列・R列に色付け","")</f>
        <v/>
      </c>
      <c r="AP289" s="492"/>
      <c r="AQ289" s="492"/>
      <c r="AW289" s="493"/>
      <c r="AX289" s="452" t="str">
        <f>G287</f>
        <v/>
      </c>
    </row>
    <row r="290" spans="1:50" ht="32.1" customHeight="1">
      <c r="A290" s="1266">
        <v>93</v>
      </c>
      <c r="B290" s="1203" t="str">
        <f>IF(基本情報入力シート!C146="","",基本情報入力シート!C146)</f>
        <v/>
      </c>
      <c r="C290" s="1203"/>
      <c r="D290" s="1203"/>
      <c r="E290" s="1203"/>
      <c r="F290" s="1203"/>
      <c r="G290" s="1206" t="str">
        <f>IF(基本情報入力シート!M146="","",基本情報入力シート!M146)</f>
        <v/>
      </c>
      <c r="H290" s="1206" t="str">
        <f>IF(基本情報入力シート!R146="","",基本情報入力シート!R146)</f>
        <v/>
      </c>
      <c r="I290" s="1206" t="str">
        <f>IF(基本情報入力シート!W146="","",基本情報入力シート!W146)</f>
        <v/>
      </c>
      <c r="J290" s="1206" t="str">
        <f>IF(基本情報入力シート!X146="","",基本情報入力シート!X146)</f>
        <v/>
      </c>
      <c r="K290" s="1206" t="str">
        <f>IF(基本情報入力シート!Y146="","",基本情報入力シート!Y146)</f>
        <v/>
      </c>
      <c r="L290" s="1209" t="str">
        <f>IF(基本情報入力シート!AB146="","",基本情報入力シート!AB146)</f>
        <v/>
      </c>
      <c r="M290" s="456" t="s">
        <v>132</v>
      </c>
      <c r="N290" s="75"/>
      <c r="O290" s="457" t="str">
        <f>IFERROR(VLOOKUP(K290,【参考】数式用!$A$5:$J$37,MATCH(N290,【参考】数式用!$B$4:$J$4,0)+1,0),"")</f>
        <v/>
      </c>
      <c r="P290" s="75"/>
      <c r="Q290" s="457" t="str">
        <f>IFERROR(VLOOKUP(K290,【参考】数式用!$A$5:$J$37,MATCH(P290,【参考】数式用!$B$4:$J$4,0)+1,0),"")</f>
        <v/>
      </c>
      <c r="R290" s="458" t="s">
        <v>15</v>
      </c>
      <c r="S290" s="459">
        <v>6</v>
      </c>
      <c r="T290" s="125" t="s">
        <v>10</v>
      </c>
      <c r="U290" s="39">
        <v>4</v>
      </c>
      <c r="V290" s="125" t="s">
        <v>38</v>
      </c>
      <c r="W290" s="459">
        <v>6</v>
      </c>
      <c r="X290" s="125" t="s">
        <v>10</v>
      </c>
      <c r="Y290" s="39">
        <v>5</v>
      </c>
      <c r="Z290" s="125" t="s">
        <v>13</v>
      </c>
      <c r="AA290" s="460" t="s">
        <v>20</v>
      </c>
      <c r="AB290" s="461">
        <f t="shared" si="861"/>
        <v>2</v>
      </c>
      <c r="AC290" s="125" t="s">
        <v>33</v>
      </c>
      <c r="AD290" s="462" t="str">
        <f t="shared" ref="AD290" si="870">IFERROR(ROUNDDOWN(ROUND(L290*Q290,0),0)*AB290,"")</f>
        <v/>
      </c>
      <c r="AE290" s="463" t="str">
        <f t="shared" si="731"/>
        <v/>
      </c>
      <c r="AF290" s="464"/>
      <c r="AG290" s="374"/>
      <c r="AH290" s="382"/>
      <c r="AI290" s="379"/>
      <c r="AJ290" s="380"/>
      <c r="AK290" s="360"/>
      <c r="AL290" s="361"/>
      <c r="AM290" s="465" t="str">
        <f t="shared" ref="AM290" si="871">IF(AO290="","",IF(Q290&lt;O290,"！加算の要件上は問題ありませんが、令和６年３月と比較して４・５月に加算率が下がる計画になっています。",""))</f>
        <v/>
      </c>
      <c r="AO290" s="466" t="str">
        <f>IF(K290&lt;&gt;"","P列・R列に色付け","")</f>
        <v/>
      </c>
      <c r="AP290" s="467" t="str">
        <f>IFERROR(VLOOKUP(K290,【参考】数式用!$AH$2:$AI$34,2,FALSE),"")</f>
        <v/>
      </c>
      <c r="AQ290" s="469" t="str">
        <f>P290&amp;P291&amp;P292</f>
        <v/>
      </c>
      <c r="AR290" s="467" t="str">
        <f t="shared" ref="AR290" si="872">IF(AF292&lt;&gt;0,IF(AG292="○","入力済","未入力"),"")</f>
        <v/>
      </c>
      <c r="AS290" s="468" t="str">
        <f>IF(OR(P290="処遇加算Ⅰ",P290="処遇加算Ⅱ"),IF(OR(AH290="○",AH290="令和６年度中に満たす"),"入力済","未入力"),"")</f>
        <v/>
      </c>
      <c r="AT290" s="469" t="str">
        <f>IF(P290="処遇加算Ⅲ",IF(AI290="○","入力済","未入力"),"")</f>
        <v/>
      </c>
      <c r="AU290" s="467" t="str">
        <f>IF(P290="処遇加算Ⅰ",IF(OR(AJ290="○",AJ290="令和６年度中に満たす"),"入力済","未入力"),"")</f>
        <v/>
      </c>
      <c r="AV290" s="467" t="str">
        <f t="shared" ref="AV290" si="873">IF(OR(P291="特定加算Ⅰ",P291="特定加算Ⅱ"),1,"")</f>
        <v/>
      </c>
      <c r="AW290" s="452" t="str">
        <f>IF(P291="特定加算Ⅰ",IF(AL291="","未入力","入力済"),"")</f>
        <v/>
      </c>
      <c r="AX290" s="452" t="str">
        <f>G290</f>
        <v/>
      </c>
    </row>
    <row r="291" spans="1:50" ht="32.1" customHeight="1">
      <c r="A291" s="1267"/>
      <c r="B291" s="1204"/>
      <c r="C291" s="1204"/>
      <c r="D291" s="1204"/>
      <c r="E291" s="1204"/>
      <c r="F291" s="1204"/>
      <c r="G291" s="1207"/>
      <c r="H291" s="1207"/>
      <c r="I291" s="1207"/>
      <c r="J291" s="1207"/>
      <c r="K291" s="1207"/>
      <c r="L291" s="1210"/>
      <c r="M291" s="470" t="s">
        <v>121</v>
      </c>
      <c r="N291" s="76"/>
      <c r="O291" s="471" t="str">
        <f>IFERROR(VLOOKUP(K290,【参考】数式用!$A$5:$J$37,MATCH(N291,【参考】数式用!$B$4:$J$4,0)+1,0),"")</f>
        <v/>
      </c>
      <c r="P291" s="76"/>
      <c r="Q291" s="471" t="str">
        <f>IFERROR(VLOOKUP(K290,【参考】数式用!$A$5:$J$37,MATCH(P291,【参考】数式用!$B$4:$J$4,0)+1,0),"")</f>
        <v/>
      </c>
      <c r="R291" s="96" t="s">
        <v>15</v>
      </c>
      <c r="S291" s="472">
        <v>6</v>
      </c>
      <c r="T291" s="97" t="s">
        <v>10</v>
      </c>
      <c r="U291" s="58">
        <v>4</v>
      </c>
      <c r="V291" s="97" t="s">
        <v>38</v>
      </c>
      <c r="W291" s="472">
        <v>6</v>
      </c>
      <c r="X291" s="97" t="s">
        <v>10</v>
      </c>
      <c r="Y291" s="58">
        <v>5</v>
      </c>
      <c r="Z291" s="97" t="s">
        <v>13</v>
      </c>
      <c r="AA291" s="473" t="s">
        <v>20</v>
      </c>
      <c r="AB291" s="474">
        <f t="shared" si="861"/>
        <v>2</v>
      </c>
      <c r="AC291" s="97" t="s">
        <v>33</v>
      </c>
      <c r="AD291" s="475" t="str">
        <f t="shared" ref="AD291" si="874">IFERROR(ROUNDDOWN(ROUND(L290*Q291,0),0)*AB291,"")</f>
        <v/>
      </c>
      <c r="AE291" s="476" t="str">
        <f t="shared" si="736"/>
        <v/>
      </c>
      <c r="AF291" s="477"/>
      <c r="AG291" s="362"/>
      <c r="AH291" s="363"/>
      <c r="AI291" s="364"/>
      <c r="AJ291" s="365"/>
      <c r="AK291" s="366"/>
      <c r="AL291" s="367"/>
      <c r="AM291" s="478"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79"/>
      <c r="AO291" s="466" t="str">
        <f>IF(K290&lt;&gt;"","P列・R列に色付け","")</f>
        <v/>
      </c>
      <c r="AX291" s="452" t="str">
        <f>G290</f>
        <v/>
      </c>
    </row>
    <row r="292" spans="1:50" ht="32.1" customHeight="1" thickBot="1">
      <c r="A292" s="1268"/>
      <c r="B292" s="1205"/>
      <c r="C292" s="1205"/>
      <c r="D292" s="1205"/>
      <c r="E292" s="1205"/>
      <c r="F292" s="1205"/>
      <c r="G292" s="1208"/>
      <c r="H292" s="1208"/>
      <c r="I292" s="1208"/>
      <c r="J292" s="1208"/>
      <c r="K292" s="1208"/>
      <c r="L292" s="1211"/>
      <c r="M292" s="480" t="s">
        <v>114</v>
      </c>
      <c r="N292" s="79"/>
      <c r="O292" s="481" t="str">
        <f>IFERROR(VLOOKUP(K290,【参考】数式用!$A$5:$J$37,MATCH(N292,【参考】数式用!$B$4:$J$4,0)+1,0),"")</f>
        <v/>
      </c>
      <c r="P292" s="77"/>
      <c r="Q292" s="481" t="str">
        <f>IFERROR(VLOOKUP(K290,【参考】数式用!$A$5:$J$37,MATCH(P292,【参考】数式用!$B$4:$J$4,0)+1,0),"")</f>
        <v/>
      </c>
      <c r="R292" s="482" t="s">
        <v>15</v>
      </c>
      <c r="S292" s="483">
        <v>6</v>
      </c>
      <c r="T292" s="484" t="s">
        <v>10</v>
      </c>
      <c r="U292" s="59">
        <v>4</v>
      </c>
      <c r="V292" s="484" t="s">
        <v>38</v>
      </c>
      <c r="W292" s="483">
        <v>6</v>
      </c>
      <c r="X292" s="484" t="s">
        <v>10</v>
      </c>
      <c r="Y292" s="59">
        <v>5</v>
      </c>
      <c r="Z292" s="484" t="s">
        <v>13</v>
      </c>
      <c r="AA292" s="485" t="s">
        <v>20</v>
      </c>
      <c r="AB292" s="486">
        <f t="shared" si="861"/>
        <v>2</v>
      </c>
      <c r="AC292" s="484" t="s">
        <v>33</v>
      </c>
      <c r="AD292" s="487" t="str">
        <f t="shared" ref="AD292" si="876">IFERROR(ROUNDDOWN(ROUND(L290*Q292,0),0)*AB292,"")</f>
        <v/>
      </c>
      <c r="AE292" s="488" t="str">
        <f t="shared" si="739"/>
        <v/>
      </c>
      <c r="AF292" s="489">
        <f t="shared" si="759"/>
        <v>0</v>
      </c>
      <c r="AG292" s="368"/>
      <c r="AH292" s="369"/>
      <c r="AI292" s="370"/>
      <c r="AJ292" s="371"/>
      <c r="AK292" s="372"/>
      <c r="AL292" s="373"/>
      <c r="AM292" s="490"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1" t="str">
        <f>IF(K290&lt;&gt;"","P列・R列に色付け","")</f>
        <v/>
      </c>
      <c r="AP292" s="492"/>
      <c r="AQ292" s="492"/>
      <c r="AW292" s="493"/>
      <c r="AX292" s="452" t="str">
        <f>G290</f>
        <v/>
      </c>
    </row>
    <row r="293" spans="1:50" ht="32.1" customHeight="1">
      <c r="A293" s="1266">
        <v>94</v>
      </c>
      <c r="B293" s="1203" t="str">
        <f>IF(基本情報入力シート!C147="","",基本情報入力シート!C147)</f>
        <v/>
      </c>
      <c r="C293" s="1203"/>
      <c r="D293" s="1203"/>
      <c r="E293" s="1203"/>
      <c r="F293" s="1203"/>
      <c r="G293" s="1206" t="str">
        <f>IF(基本情報入力シート!M147="","",基本情報入力シート!M147)</f>
        <v/>
      </c>
      <c r="H293" s="1206" t="str">
        <f>IF(基本情報入力シート!R147="","",基本情報入力シート!R147)</f>
        <v/>
      </c>
      <c r="I293" s="1206" t="str">
        <f>IF(基本情報入力シート!W147="","",基本情報入力シート!W147)</f>
        <v/>
      </c>
      <c r="J293" s="1206" t="str">
        <f>IF(基本情報入力シート!X147="","",基本情報入力シート!X147)</f>
        <v/>
      </c>
      <c r="K293" s="1206" t="str">
        <f>IF(基本情報入力シート!Y147="","",基本情報入力シート!Y147)</f>
        <v/>
      </c>
      <c r="L293" s="1209" t="str">
        <f>IF(基本情報入力シート!AB147="","",基本情報入力シート!AB147)</f>
        <v/>
      </c>
      <c r="M293" s="456" t="s">
        <v>132</v>
      </c>
      <c r="N293" s="75"/>
      <c r="O293" s="457" t="str">
        <f>IFERROR(VLOOKUP(K293,【参考】数式用!$A$5:$J$37,MATCH(N293,【参考】数式用!$B$4:$J$4,0)+1,0),"")</f>
        <v/>
      </c>
      <c r="P293" s="75"/>
      <c r="Q293" s="457" t="str">
        <f>IFERROR(VLOOKUP(K293,【参考】数式用!$A$5:$J$37,MATCH(P293,【参考】数式用!$B$4:$J$4,0)+1,0),"")</f>
        <v/>
      </c>
      <c r="R293" s="458" t="s">
        <v>15</v>
      </c>
      <c r="S293" s="459">
        <v>6</v>
      </c>
      <c r="T293" s="125" t="s">
        <v>10</v>
      </c>
      <c r="U293" s="39">
        <v>4</v>
      </c>
      <c r="V293" s="125" t="s">
        <v>38</v>
      </c>
      <c r="W293" s="459">
        <v>6</v>
      </c>
      <c r="X293" s="125" t="s">
        <v>10</v>
      </c>
      <c r="Y293" s="39">
        <v>5</v>
      </c>
      <c r="Z293" s="125" t="s">
        <v>13</v>
      </c>
      <c r="AA293" s="460" t="s">
        <v>20</v>
      </c>
      <c r="AB293" s="461">
        <f t="shared" si="861"/>
        <v>2</v>
      </c>
      <c r="AC293" s="125" t="s">
        <v>33</v>
      </c>
      <c r="AD293" s="462" t="str">
        <f t="shared" ref="AD293" si="878">IFERROR(ROUNDDOWN(ROUND(L293*Q293,0),0)*AB293,"")</f>
        <v/>
      </c>
      <c r="AE293" s="463" t="str">
        <f t="shared" ref="AE293" si="879">IFERROR(ROUNDDOWN(ROUND(L293*(Q293-O293),0),0)*AB293,"")</f>
        <v/>
      </c>
      <c r="AF293" s="464"/>
      <c r="AG293" s="374"/>
      <c r="AH293" s="382"/>
      <c r="AI293" s="379"/>
      <c r="AJ293" s="380"/>
      <c r="AK293" s="360"/>
      <c r="AL293" s="361"/>
      <c r="AM293" s="465" t="str">
        <f t="shared" ref="AM293" si="880">IF(AO293="","",IF(Q293&lt;O293,"！加算の要件上は問題ありませんが、令和６年３月と比較して４・５月に加算率が下がる計画になっています。",""))</f>
        <v/>
      </c>
      <c r="AO293" s="466" t="str">
        <f>IF(K293&lt;&gt;"","P列・R列に色付け","")</f>
        <v/>
      </c>
      <c r="AP293" s="467" t="str">
        <f>IFERROR(VLOOKUP(K293,【参考】数式用!$AH$2:$AI$34,2,FALSE),"")</f>
        <v/>
      </c>
      <c r="AQ293" s="469" t="str">
        <f>P293&amp;P294&amp;P295</f>
        <v/>
      </c>
      <c r="AR293" s="467" t="str">
        <f t="shared" ref="AR293" si="881">IF(AF295&lt;&gt;0,IF(AG295="○","入力済","未入力"),"")</f>
        <v/>
      </c>
      <c r="AS293" s="468" t="str">
        <f>IF(OR(P293="処遇加算Ⅰ",P293="処遇加算Ⅱ"),IF(OR(AH293="○",AH293="令和６年度中に満たす"),"入力済","未入力"),"")</f>
        <v/>
      </c>
      <c r="AT293" s="469" t="str">
        <f>IF(P293="処遇加算Ⅲ",IF(AI293="○","入力済","未入力"),"")</f>
        <v/>
      </c>
      <c r="AU293" s="467" t="str">
        <f>IF(P293="処遇加算Ⅰ",IF(OR(AJ293="○",AJ293="令和６年度中に満たす"),"入力済","未入力"),"")</f>
        <v/>
      </c>
      <c r="AV293" s="467" t="str">
        <f t="shared" ref="AV293" si="882">IF(OR(P294="特定加算Ⅰ",P294="特定加算Ⅱ"),1,"")</f>
        <v/>
      </c>
      <c r="AW293" s="452" t="str">
        <f>IF(P294="特定加算Ⅰ",IF(AL294="","未入力","入力済"),"")</f>
        <v/>
      </c>
      <c r="AX293" s="452" t="str">
        <f>G293</f>
        <v/>
      </c>
    </row>
    <row r="294" spans="1:50" ht="32.1" customHeight="1">
      <c r="A294" s="1267"/>
      <c r="B294" s="1204"/>
      <c r="C294" s="1204"/>
      <c r="D294" s="1204"/>
      <c r="E294" s="1204"/>
      <c r="F294" s="1204"/>
      <c r="G294" s="1207"/>
      <c r="H294" s="1207"/>
      <c r="I294" s="1207"/>
      <c r="J294" s="1207"/>
      <c r="K294" s="1207"/>
      <c r="L294" s="1210"/>
      <c r="M294" s="470" t="s">
        <v>121</v>
      </c>
      <c r="N294" s="76"/>
      <c r="O294" s="471" t="str">
        <f>IFERROR(VLOOKUP(K293,【参考】数式用!$A$5:$J$37,MATCH(N294,【参考】数式用!$B$4:$J$4,0)+1,0),"")</f>
        <v/>
      </c>
      <c r="P294" s="76"/>
      <c r="Q294" s="471" t="str">
        <f>IFERROR(VLOOKUP(K293,【参考】数式用!$A$5:$J$37,MATCH(P294,【参考】数式用!$B$4:$J$4,0)+1,0),"")</f>
        <v/>
      </c>
      <c r="R294" s="96" t="s">
        <v>15</v>
      </c>
      <c r="S294" s="472">
        <v>6</v>
      </c>
      <c r="T294" s="97" t="s">
        <v>10</v>
      </c>
      <c r="U294" s="58">
        <v>4</v>
      </c>
      <c r="V294" s="97" t="s">
        <v>38</v>
      </c>
      <c r="W294" s="472">
        <v>6</v>
      </c>
      <c r="X294" s="97" t="s">
        <v>10</v>
      </c>
      <c r="Y294" s="58">
        <v>5</v>
      </c>
      <c r="Z294" s="97" t="s">
        <v>13</v>
      </c>
      <c r="AA294" s="473" t="s">
        <v>20</v>
      </c>
      <c r="AB294" s="474">
        <f t="shared" si="861"/>
        <v>2</v>
      </c>
      <c r="AC294" s="97" t="s">
        <v>33</v>
      </c>
      <c r="AD294" s="475" t="str">
        <f t="shared" ref="AD294" si="883">IFERROR(ROUNDDOWN(ROUND(L293*Q294,0),0)*AB294,"")</f>
        <v/>
      </c>
      <c r="AE294" s="476" t="str">
        <f t="shared" ref="AE294" si="884">IFERROR(ROUNDDOWN(ROUND(L293*(Q294-O294),0),0)*AB294,"")</f>
        <v/>
      </c>
      <c r="AF294" s="477"/>
      <c r="AG294" s="362"/>
      <c r="AH294" s="363"/>
      <c r="AI294" s="364"/>
      <c r="AJ294" s="365"/>
      <c r="AK294" s="366"/>
      <c r="AL294" s="367"/>
      <c r="AM294" s="478"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79"/>
      <c r="AO294" s="466" t="str">
        <f>IF(K293&lt;&gt;"","P列・R列に色付け","")</f>
        <v/>
      </c>
      <c r="AX294" s="452" t="str">
        <f>G293</f>
        <v/>
      </c>
    </row>
    <row r="295" spans="1:50" ht="32.1" customHeight="1" thickBot="1">
      <c r="A295" s="1268"/>
      <c r="B295" s="1205"/>
      <c r="C295" s="1205"/>
      <c r="D295" s="1205"/>
      <c r="E295" s="1205"/>
      <c r="F295" s="1205"/>
      <c r="G295" s="1208"/>
      <c r="H295" s="1208"/>
      <c r="I295" s="1208"/>
      <c r="J295" s="1208"/>
      <c r="K295" s="1208"/>
      <c r="L295" s="1211"/>
      <c r="M295" s="480" t="s">
        <v>114</v>
      </c>
      <c r="N295" s="79"/>
      <c r="O295" s="481" t="str">
        <f>IFERROR(VLOOKUP(K293,【参考】数式用!$A$5:$J$37,MATCH(N295,【参考】数式用!$B$4:$J$4,0)+1,0),"")</f>
        <v/>
      </c>
      <c r="P295" s="77"/>
      <c r="Q295" s="481" t="str">
        <f>IFERROR(VLOOKUP(K293,【参考】数式用!$A$5:$J$37,MATCH(P295,【参考】数式用!$B$4:$J$4,0)+1,0),"")</f>
        <v/>
      </c>
      <c r="R295" s="482" t="s">
        <v>15</v>
      </c>
      <c r="S295" s="483">
        <v>6</v>
      </c>
      <c r="T295" s="484" t="s">
        <v>10</v>
      </c>
      <c r="U295" s="59">
        <v>4</v>
      </c>
      <c r="V295" s="484" t="s">
        <v>38</v>
      </c>
      <c r="W295" s="483">
        <v>6</v>
      </c>
      <c r="X295" s="484" t="s">
        <v>10</v>
      </c>
      <c r="Y295" s="59">
        <v>5</v>
      </c>
      <c r="Z295" s="484" t="s">
        <v>13</v>
      </c>
      <c r="AA295" s="485" t="s">
        <v>20</v>
      </c>
      <c r="AB295" s="486">
        <f t="shared" si="861"/>
        <v>2</v>
      </c>
      <c r="AC295" s="484" t="s">
        <v>33</v>
      </c>
      <c r="AD295" s="487" t="str">
        <f t="shared" ref="AD295" si="886">IFERROR(ROUNDDOWN(ROUND(L293*Q295,0),0)*AB295,"")</f>
        <v/>
      </c>
      <c r="AE295" s="488" t="str">
        <f t="shared" ref="AE295" si="887">IFERROR(ROUNDDOWN(ROUND(L293*(Q295-O295),0),0)*AB295,"")</f>
        <v/>
      </c>
      <c r="AF295" s="489">
        <f t="shared" si="759"/>
        <v>0</v>
      </c>
      <c r="AG295" s="368"/>
      <c r="AH295" s="369"/>
      <c r="AI295" s="370"/>
      <c r="AJ295" s="371"/>
      <c r="AK295" s="372"/>
      <c r="AL295" s="373"/>
      <c r="AM295" s="490"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1" t="str">
        <f>IF(K293&lt;&gt;"","P列・R列に色付け","")</f>
        <v/>
      </c>
      <c r="AP295" s="492"/>
      <c r="AQ295" s="492"/>
      <c r="AW295" s="493"/>
      <c r="AX295" s="452" t="str">
        <f>G293</f>
        <v/>
      </c>
    </row>
    <row r="296" spans="1:50" ht="32.1" customHeight="1">
      <c r="A296" s="1266">
        <v>95</v>
      </c>
      <c r="B296" s="1203" t="str">
        <f>IF(基本情報入力シート!C148="","",基本情報入力シート!C148)</f>
        <v/>
      </c>
      <c r="C296" s="1203"/>
      <c r="D296" s="1203"/>
      <c r="E296" s="1203"/>
      <c r="F296" s="1203"/>
      <c r="G296" s="1206" t="str">
        <f>IF(基本情報入力シート!M148="","",基本情報入力シート!M148)</f>
        <v/>
      </c>
      <c r="H296" s="1206" t="str">
        <f>IF(基本情報入力シート!R148="","",基本情報入力シート!R148)</f>
        <v/>
      </c>
      <c r="I296" s="1206" t="str">
        <f>IF(基本情報入力シート!W148="","",基本情報入力シート!W148)</f>
        <v/>
      </c>
      <c r="J296" s="1206" t="str">
        <f>IF(基本情報入力シート!X148="","",基本情報入力シート!X148)</f>
        <v/>
      </c>
      <c r="K296" s="1206" t="str">
        <f>IF(基本情報入力シート!Y148="","",基本情報入力シート!Y148)</f>
        <v/>
      </c>
      <c r="L296" s="1209" t="str">
        <f>IF(基本情報入力シート!AB148="","",基本情報入力シート!AB148)</f>
        <v/>
      </c>
      <c r="M296" s="456" t="s">
        <v>132</v>
      </c>
      <c r="N296" s="75"/>
      <c r="O296" s="457" t="str">
        <f>IFERROR(VLOOKUP(K296,【参考】数式用!$A$5:$J$37,MATCH(N296,【参考】数式用!$B$4:$J$4,0)+1,0),"")</f>
        <v/>
      </c>
      <c r="P296" s="75"/>
      <c r="Q296" s="457" t="str">
        <f>IFERROR(VLOOKUP(K296,【参考】数式用!$A$5:$J$37,MATCH(P296,【参考】数式用!$B$4:$J$4,0)+1,0),"")</f>
        <v/>
      </c>
      <c r="R296" s="458" t="s">
        <v>15</v>
      </c>
      <c r="S296" s="459">
        <v>6</v>
      </c>
      <c r="T296" s="125" t="s">
        <v>10</v>
      </c>
      <c r="U296" s="39">
        <v>4</v>
      </c>
      <c r="V296" s="125" t="s">
        <v>38</v>
      </c>
      <c r="W296" s="459">
        <v>6</v>
      </c>
      <c r="X296" s="125" t="s">
        <v>10</v>
      </c>
      <c r="Y296" s="39">
        <v>5</v>
      </c>
      <c r="Z296" s="125" t="s">
        <v>13</v>
      </c>
      <c r="AA296" s="460" t="s">
        <v>20</v>
      </c>
      <c r="AB296" s="461">
        <f t="shared" si="861"/>
        <v>2</v>
      </c>
      <c r="AC296" s="125" t="s">
        <v>33</v>
      </c>
      <c r="AD296" s="462" t="str">
        <f t="shared" ref="AD296" si="889">IFERROR(ROUNDDOWN(ROUND(L296*Q296,0),0)*AB296,"")</f>
        <v/>
      </c>
      <c r="AE296" s="463" t="str">
        <f t="shared" si="720"/>
        <v/>
      </c>
      <c r="AF296" s="464"/>
      <c r="AG296" s="374"/>
      <c r="AH296" s="382"/>
      <c r="AI296" s="379"/>
      <c r="AJ296" s="380"/>
      <c r="AK296" s="360"/>
      <c r="AL296" s="361"/>
      <c r="AM296" s="465" t="str">
        <f t="shared" ref="AM296" si="890">IF(AO296="","",IF(Q296&lt;O296,"！加算の要件上は問題ありませんが、令和６年３月と比較して４・５月に加算率が下がる計画になっています。",""))</f>
        <v/>
      </c>
      <c r="AO296" s="466" t="str">
        <f>IF(K296&lt;&gt;"","P列・R列に色付け","")</f>
        <v/>
      </c>
      <c r="AP296" s="467" t="str">
        <f>IFERROR(VLOOKUP(K296,【参考】数式用!$AH$2:$AI$34,2,FALSE),"")</f>
        <v/>
      </c>
      <c r="AQ296" s="469" t="str">
        <f>P296&amp;P297&amp;P298</f>
        <v/>
      </c>
      <c r="AR296" s="467" t="str">
        <f t="shared" ref="AR296" si="891">IF(AF298&lt;&gt;0,IF(AG298="○","入力済","未入力"),"")</f>
        <v/>
      </c>
      <c r="AS296" s="468" t="str">
        <f>IF(OR(P296="処遇加算Ⅰ",P296="処遇加算Ⅱ"),IF(OR(AH296="○",AH296="令和６年度中に満たす"),"入力済","未入力"),"")</f>
        <v/>
      </c>
      <c r="AT296" s="469" t="str">
        <f>IF(P296="処遇加算Ⅲ",IF(AI296="○","入力済","未入力"),"")</f>
        <v/>
      </c>
      <c r="AU296" s="467" t="str">
        <f>IF(P296="処遇加算Ⅰ",IF(OR(AJ296="○",AJ296="令和６年度中に満たす"),"入力済","未入力"),"")</f>
        <v/>
      </c>
      <c r="AV296" s="467" t="str">
        <f t="shared" ref="AV296" si="892">IF(OR(P297="特定加算Ⅰ",P297="特定加算Ⅱ"),1,"")</f>
        <v/>
      </c>
      <c r="AW296" s="452" t="str">
        <f>IF(P297="特定加算Ⅰ",IF(AL297="","未入力","入力済"),"")</f>
        <v/>
      </c>
      <c r="AX296" s="452" t="str">
        <f>G296</f>
        <v/>
      </c>
    </row>
    <row r="297" spans="1:50" ht="32.1" customHeight="1">
      <c r="A297" s="1267"/>
      <c r="B297" s="1204"/>
      <c r="C297" s="1204"/>
      <c r="D297" s="1204"/>
      <c r="E297" s="1204"/>
      <c r="F297" s="1204"/>
      <c r="G297" s="1207"/>
      <c r="H297" s="1207"/>
      <c r="I297" s="1207"/>
      <c r="J297" s="1207"/>
      <c r="K297" s="1207"/>
      <c r="L297" s="1210"/>
      <c r="M297" s="470" t="s">
        <v>121</v>
      </c>
      <c r="N297" s="76"/>
      <c r="O297" s="471" t="str">
        <f>IFERROR(VLOOKUP(K296,【参考】数式用!$A$5:$J$37,MATCH(N297,【参考】数式用!$B$4:$J$4,0)+1,0),"")</f>
        <v/>
      </c>
      <c r="P297" s="76"/>
      <c r="Q297" s="471" t="str">
        <f>IFERROR(VLOOKUP(K296,【参考】数式用!$A$5:$J$37,MATCH(P297,【参考】数式用!$B$4:$J$4,0)+1,0),"")</f>
        <v/>
      </c>
      <c r="R297" s="96" t="s">
        <v>15</v>
      </c>
      <c r="S297" s="472">
        <v>6</v>
      </c>
      <c r="T297" s="97" t="s">
        <v>10</v>
      </c>
      <c r="U297" s="58">
        <v>4</v>
      </c>
      <c r="V297" s="97" t="s">
        <v>38</v>
      </c>
      <c r="W297" s="472">
        <v>6</v>
      </c>
      <c r="X297" s="97" t="s">
        <v>10</v>
      </c>
      <c r="Y297" s="58">
        <v>5</v>
      </c>
      <c r="Z297" s="97" t="s">
        <v>13</v>
      </c>
      <c r="AA297" s="473" t="s">
        <v>20</v>
      </c>
      <c r="AB297" s="474">
        <f t="shared" si="861"/>
        <v>2</v>
      </c>
      <c r="AC297" s="97" t="s">
        <v>33</v>
      </c>
      <c r="AD297" s="475" t="str">
        <f t="shared" ref="AD297" si="893">IFERROR(ROUNDDOWN(ROUND(L296*Q297,0),0)*AB297,"")</f>
        <v/>
      </c>
      <c r="AE297" s="476" t="str">
        <f t="shared" si="725"/>
        <v/>
      </c>
      <c r="AF297" s="477"/>
      <c r="AG297" s="362"/>
      <c r="AH297" s="363"/>
      <c r="AI297" s="364"/>
      <c r="AJ297" s="365"/>
      <c r="AK297" s="366"/>
      <c r="AL297" s="367"/>
      <c r="AM297" s="478"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79"/>
      <c r="AO297" s="466" t="str">
        <f>IF(K296&lt;&gt;"","P列・R列に色付け","")</f>
        <v/>
      </c>
      <c r="AX297" s="452" t="str">
        <f>G296</f>
        <v/>
      </c>
    </row>
    <row r="298" spans="1:50" ht="32.1" customHeight="1" thickBot="1">
      <c r="A298" s="1268"/>
      <c r="B298" s="1205"/>
      <c r="C298" s="1205"/>
      <c r="D298" s="1205"/>
      <c r="E298" s="1205"/>
      <c r="F298" s="1205"/>
      <c r="G298" s="1208"/>
      <c r="H298" s="1208"/>
      <c r="I298" s="1208"/>
      <c r="J298" s="1208"/>
      <c r="K298" s="1208"/>
      <c r="L298" s="1211"/>
      <c r="M298" s="480" t="s">
        <v>114</v>
      </c>
      <c r="N298" s="79"/>
      <c r="O298" s="481" t="str">
        <f>IFERROR(VLOOKUP(K296,【参考】数式用!$A$5:$J$37,MATCH(N298,【参考】数式用!$B$4:$J$4,0)+1,0),"")</f>
        <v/>
      </c>
      <c r="P298" s="77"/>
      <c r="Q298" s="481" t="str">
        <f>IFERROR(VLOOKUP(K296,【参考】数式用!$A$5:$J$37,MATCH(P298,【参考】数式用!$B$4:$J$4,0)+1,0),"")</f>
        <v/>
      </c>
      <c r="R298" s="482" t="s">
        <v>15</v>
      </c>
      <c r="S298" s="483">
        <v>6</v>
      </c>
      <c r="T298" s="484" t="s">
        <v>10</v>
      </c>
      <c r="U298" s="59">
        <v>4</v>
      </c>
      <c r="V298" s="484" t="s">
        <v>38</v>
      </c>
      <c r="W298" s="483">
        <v>6</v>
      </c>
      <c r="X298" s="484" t="s">
        <v>10</v>
      </c>
      <c r="Y298" s="59">
        <v>5</v>
      </c>
      <c r="Z298" s="484" t="s">
        <v>13</v>
      </c>
      <c r="AA298" s="485" t="s">
        <v>20</v>
      </c>
      <c r="AB298" s="486">
        <f t="shared" si="861"/>
        <v>2</v>
      </c>
      <c r="AC298" s="484" t="s">
        <v>33</v>
      </c>
      <c r="AD298" s="487" t="str">
        <f t="shared" ref="AD298" si="895">IFERROR(ROUNDDOWN(ROUND(L296*Q298,0),0)*AB298,"")</f>
        <v/>
      </c>
      <c r="AE298" s="488" t="str">
        <f t="shared" si="728"/>
        <v/>
      </c>
      <c r="AF298" s="489">
        <f t="shared" si="759"/>
        <v>0</v>
      </c>
      <c r="AG298" s="368"/>
      <c r="AH298" s="369"/>
      <c r="AI298" s="370"/>
      <c r="AJ298" s="371"/>
      <c r="AK298" s="372"/>
      <c r="AL298" s="373"/>
      <c r="AM298" s="490"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1" t="str">
        <f>IF(K296&lt;&gt;"","P列・R列に色付け","")</f>
        <v/>
      </c>
      <c r="AP298" s="492"/>
      <c r="AQ298" s="492"/>
      <c r="AW298" s="493"/>
      <c r="AX298" s="452" t="str">
        <f>G296</f>
        <v/>
      </c>
    </row>
    <row r="299" spans="1:50" ht="32.1" customHeight="1">
      <c r="A299" s="1266">
        <v>96</v>
      </c>
      <c r="B299" s="1203" t="str">
        <f>IF(基本情報入力シート!C149="","",基本情報入力シート!C149)</f>
        <v/>
      </c>
      <c r="C299" s="1203"/>
      <c r="D299" s="1203"/>
      <c r="E299" s="1203"/>
      <c r="F299" s="1203"/>
      <c r="G299" s="1206" t="str">
        <f>IF(基本情報入力シート!M149="","",基本情報入力シート!M149)</f>
        <v/>
      </c>
      <c r="H299" s="1206" t="str">
        <f>IF(基本情報入力シート!R149="","",基本情報入力シート!R149)</f>
        <v/>
      </c>
      <c r="I299" s="1206" t="str">
        <f>IF(基本情報入力シート!W149="","",基本情報入力シート!W149)</f>
        <v/>
      </c>
      <c r="J299" s="1206" t="str">
        <f>IF(基本情報入力シート!X149="","",基本情報入力シート!X149)</f>
        <v/>
      </c>
      <c r="K299" s="1206" t="str">
        <f>IF(基本情報入力シート!Y149="","",基本情報入力シート!Y149)</f>
        <v/>
      </c>
      <c r="L299" s="1209" t="str">
        <f>IF(基本情報入力シート!AB149="","",基本情報入力シート!AB149)</f>
        <v/>
      </c>
      <c r="M299" s="456" t="s">
        <v>132</v>
      </c>
      <c r="N299" s="75"/>
      <c r="O299" s="457" t="str">
        <f>IFERROR(VLOOKUP(K299,【参考】数式用!$A$5:$J$37,MATCH(N299,【参考】数式用!$B$4:$J$4,0)+1,0),"")</f>
        <v/>
      </c>
      <c r="P299" s="75"/>
      <c r="Q299" s="457" t="str">
        <f>IFERROR(VLOOKUP(K299,【参考】数式用!$A$5:$J$37,MATCH(P299,【参考】数式用!$B$4:$J$4,0)+1,0),"")</f>
        <v/>
      </c>
      <c r="R299" s="458" t="s">
        <v>15</v>
      </c>
      <c r="S299" s="459">
        <v>6</v>
      </c>
      <c r="T299" s="125" t="s">
        <v>10</v>
      </c>
      <c r="U299" s="39">
        <v>4</v>
      </c>
      <c r="V299" s="125" t="s">
        <v>38</v>
      </c>
      <c r="W299" s="459">
        <v>6</v>
      </c>
      <c r="X299" s="125" t="s">
        <v>10</v>
      </c>
      <c r="Y299" s="39">
        <v>5</v>
      </c>
      <c r="Z299" s="125" t="s">
        <v>13</v>
      </c>
      <c r="AA299" s="460" t="s">
        <v>20</v>
      </c>
      <c r="AB299" s="461">
        <f t="shared" si="861"/>
        <v>2</v>
      </c>
      <c r="AC299" s="125" t="s">
        <v>33</v>
      </c>
      <c r="AD299" s="462" t="str">
        <f t="shared" ref="AD299" si="897">IFERROR(ROUNDDOWN(ROUND(L299*Q299,0),0)*AB299,"")</f>
        <v/>
      </c>
      <c r="AE299" s="463" t="str">
        <f t="shared" si="731"/>
        <v/>
      </c>
      <c r="AF299" s="464"/>
      <c r="AG299" s="374"/>
      <c r="AH299" s="382"/>
      <c r="AI299" s="379"/>
      <c r="AJ299" s="380"/>
      <c r="AK299" s="360"/>
      <c r="AL299" s="361"/>
      <c r="AM299" s="465" t="str">
        <f t="shared" ref="AM299" si="898">IF(AO299="","",IF(Q299&lt;O299,"！加算の要件上は問題ありませんが、令和６年３月と比較して４・５月に加算率が下がる計画になっています。",""))</f>
        <v/>
      </c>
      <c r="AO299" s="466" t="str">
        <f>IF(K299&lt;&gt;"","P列・R列に色付け","")</f>
        <v/>
      </c>
      <c r="AP299" s="467" t="str">
        <f>IFERROR(VLOOKUP(K299,【参考】数式用!$AH$2:$AI$34,2,FALSE),"")</f>
        <v/>
      </c>
      <c r="AQ299" s="469" t="str">
        <f>P299&amp;P300&amp;P301</f>
        <v/>
      </c>
      <c r="AR299" s="467" t="str">
        <f t="shared" ref="AR299" si="899">IF(AF301&lt;&gt;0,IF(AG301="○","入力済","未入力"),"")</f>
        <v/>
      </c>
      <c r="AS299" s="468" t="str">
        <f>IF(OR(P299="処遇加算Ⅰ",P299="処遇加算Ⅱ"),IF(OR(AH299="○",AH299="令和６年度中に満たす"),"入力済","未入力"),"")</f>
        <v/>
      </c>
      <c r="AT299" s="469" t="str">
        <f>IF(P299="処遇加算Ⅲ",IF(AI299="○","入力済","未入力"),"")</f>
        <v/>
      </c>
      <c r="AU299" s="467" t="str">
        <f>IF(P299="処遇加算Ⅰ",IF(OR(AJ299="○",AJ299="令和６年度中に満たす"),"入力済","未入力"),"")</f>
        <v/>
      </c>
      <c r="AV299" s="467" t="str">
        <f t="shared" ref="AV299" si="900">IF(OR(P300="特定加算Ⅰ",P300="特定加算Ⅱ"),1,"")</f>
        <v/>
      </c>
      <c r="AW299" s="452" t="str">
        <f>IF(P300="特定加算Ⅰ",IF(AL300="","未入力","入力済"),"")</f>
        <v/>
      </c>
      <c r="AX299" s="452" t="str">
        <f>G299</f>
        <v/>
      </c>
    </row>
    <row r="300" spans="1:50" ht="32.1" customHeight="1">
      <c r="A300" s="1267"/>
      <c r="B300" s="1204"/>
      <c r="C300" s="1204"/>
      <c r="D300" s="1204"/>
      <c r="E300" s="1204"/>
      <c r="F300" s="1204"/>
      <c r="G300" s="1207"/>
      <c r="H300" s="1207"/>
      <c r="I300" s="1207"/>
      <c r="J300" s="1207"/>
      <c r="K300" s="1207"/>
      <c r="L300" s="1210"/>
      <c r="M300" s="470" t="s">
        <v>121</v>
      </c>
      <c r="N300" s="76"/>
      <c r="O300" s="471" t="str">
        <f>IFERROR(VLOOKUP(K299,【参考】数式用!$A$5:$J$37,MATCH(N300,【参考】数式用!$B$4:$J$4,0)+1,0),"")</f>
        <v/>
      </c>
      <c r="P300" s="76"/>
      <c r="Q300" s="471" t="str">
        <f>IFERROR(VLOOKUP(K299,【参考】数式用!$A$5:$J$37,MATCH(P300,【参考】数式用!$B$4:$J$4,0)+1,0),"")</f>
        <v/>
      </c>
      <c r="R300" s="96" t="s">
        <v>15</v>
      </c>
      <c r="S300" s="472">
        <v>6</v>
      </c>
      <c r="T300" s="97" t="s">
        <v>10</v>
      </c>
      <c r="U300" s="58">
        <v>4</v>
      </c>
      <c r="V300" s="97" t="s">
        <v>38</v>
      </c>
      <c r="W300" s="472">
        <v>6</v>
      </c>
      <c r="X300" s="97" t="s">
        <v>10</v>
      </c>
      <c r="Y300" s="58">
        <v>5</v>
      </c>
      <c r="Z300" s="97" t="s">
        <v>13</v>
      </c>
      <c r="AA300" s="473" t="s">
        <v>20</v>
      </c>
      <c r="AB300" s="474">
        <f t="shared" si="861"/>
        <v>2</v>
      </c>
      <c r="AC300" s="97" t="s">
        <v>33</v>
      </c>
      <c r="AD300" s="475" t="str">
        <f t="shared" ref="AD300" si="901">IFERROR(ROUNDDOWN(ROUND(L299*Q300,0),0)*AB300,"")</f>
        <v/>
      </c>
      <c r="AE300" s="476" t="str">
        <f t="shared" si="736"/>
        <v/>
      </c>
      <c r="AF300" s="477"/>
      <c r="AG300" s="362"/>
      <c r="AH300" s="363"/>
      <c r="AI300" s="364"/>
      <c r="AJ300" s="365"/>
      <c r="AK300" s="366"/>
      <c r="AL300" s="367"/>
      <c r="AM300" s="478"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79"/>
      <c r="AO300" s="466" t="str">
        <f>IF(K299&lt;&gt;"","P列・R列に色付け","")</f>
        <v/>
      </c>
      <c r="AX300" s="452" t="str">
        <f>G299</f>
        <v/>
      </c>
    </row>
    <row r="301" spans="1:50" ht="32.1" customHeight="1" thickBot="1">
      <c r="A301" s="1268"/>
      <c r="B301" s="1205"/>
      <c r="C301" s="1205"/>
      <c r="D301" s="1205"/>
      <c r="E301" s="1205"/>
      <c r="F301" s="1205"/>
      <c r="G301" s="1208"/>
      <c r="H301" s="1208"/>
      <c r="I301" s="1208"/>
      <c r="J301" s="1208"/>
      <c r="K301" s="1208"/>
      <c r="L301" s="1211"/>
      <c r="M301" s="480" t="s">
        <v>114</v>
      </c>
      <c r="N301" s="79"/>
      <c r="O301" s="481" t="str">
        <f>IFERROR(VLOOKUP(K299,【参考】数式用!$A$5:$J$37,MATCH(N301,【参考】数式用!$B$4:$J$4,0)+1,0),"")</f>
        <v/>
      </c>
      <c r="P301" s="77"/>
      <c r="Q301" s="481" t="str">
        <f>IFERROR(VLOOKUP(K299,【参考】数式用!$A$5:$J$37,MATCH(P301,【参考】数式用!$B$4:$J$4,0)+1,0),"")</f>
        <v/>
      </c>
      <c r="R301" s="482" t="s">
        <v>15</v>
      </c>
      <c r="S301" s="483">
        <v>6</v>
      </c>
      <c r="T301" s="484" t="s">
        <v>10</v>
      </c>
      <c r="U301" s="59">
        <v>4</v>
      </c>
      <c r="V301" s="484" t="s">
        <v>38</v>
      </c>
      <c r="W301" s="483">
        <v>6</v>
      </c>
      <c r="X301" s="484" t="s">
        <v>10</v>
      </c>
      <c r="Y301" s="59">
        <v>5</v>
      </c>
      <c r="Z301" s="484" t="s">
        <v>13</v>
      </c>
      <c r="AA301" s="485" t="s">
        <v>20</v>
      </c>
      <c r="AB301" s="486">
        <f t="shared" si="861"/>
        <v>2</v>
      </c>
      <c r="AC301" s="484" t="s">
        <v>33</v>
      </c>
      <c r="AD301" s="487" t="str">
        <f t="shared" ref="AD301" si="903">IFERROR(ROUNDDOWN(ROUND(L299*Q301,0),0)*AB301,"")</f>
        <v/>
      </c>
      <c r="AE301" s="488" t="str">
        <f t="shared" si="739"/>
        <v/>
      </c>
      <c r="AF301" s="489">
        <f t="shared" si="759"/>
        <v>0</v>
      </c>
      <c r="AG301" s="368"/>
      <c r="AH301" s="369"/>
      <c r="AI301" s="370"/>
      <c r="AJ301" s="371"/>
      <c r="AK301" s="372"/>
      <c r="AL301" s="373"/>
      <c r="AM301" s="490"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1" t="str">
        <f>IF(K299&lt;&gt;"","P列・R列に色付け","")</f>
        <v/>
      </c>
      <c r="AP301" s="492"/>
      <c r="AQ301" s="492"/>
      <c r="AW301" s="493"/>
      <c r="AX301" s="452" t="str">
        <f>G299</f>
        <v/>
      </c>
    </row>
    <row r="302" spans="1:50" ht="32.1" customHeight="1">
      <c r="A302" s="1266">
        <v>97</v>
      </c>
      <c r="B302" s="1203" t="str">
        <f>IF(基本情報入力シート!C150="","",基本情報入力シート!C150)</f>
        <v/>
      </c>
      <c r="C302" s="1203"/>
      <c r="D302" s="1203"/>
      <c r="E302" s="1203"/>
      <c r="F302" s="1203"/>
      <c r="G302" s="1206" t="str">
        <f>IF(基本情報入力シート!M150="","",基本情報入力シート!M150)</f>
        <v/>
      </c>
      <c r="H302" s="1206" t="str">
        <f>IF(基本情報入力シート!R150="","",基本情報入力シート!R150)</f>
        <v/>
      </c>
      <c r="I302" s="1206" t="str">
        <f>IF(基本情報入力シート!W150="","",基本情報入力シート!W150)</f>
        <v/>
      </c>
      <c r="J302" s="1206" t="str">
        <f>IF(基本情報入力シート!X150="","",基本情報入力シート!X150)</f>
        <v/>
      </c>
      <c r="K302" s="1206" t="str">
        <f>IF(基本情報入力シート!Y150="","",基本情報入力シート!Y150)</f>
        <v/>
      </c>
      <c r="L302" s="1209" t="str">
        <f>IF(基本情報入力シート!AB150="","",基本情報入力シート!AB150)</f>
        <v/>
      </c>
      <c r="M302" s="456" t="s">
        <v>132</v>
      </c>
      <c r="N302" s="75"/>
      <c r="O302" s="457" t="str">
        <f>IFERROR(VLOOKUP(K302,【参考】数式用!$A$5:$J$37,MATCH(N302,【参考】数式用!$B$4:$J$4,0)+1,0),"")</f>
        <v/>
      </c>
      <c r="P302" s="75"/>
      <c r="Q302" s="457" t="str">
        <f>IFERROR(VLOOKUP(K302,【参考】数式用!$A$5:$J$37,MATCH(P302,【参考】数式用!$B$4:$J$4,0)+1,0),"")</f>
        <v/>
      </c>
      <c r="R302" s="458" t="s">
        <v>15</v>
      </c>
      <c r="S302" s="459">
        <v>6</v>
      </c>
      <c r="T302" s="125" t="s">
        <v>10</v>
      </c>
      <c r="U302" s="39">
        <v>4</v>
      </c>
      <c r="V302" s="125" t="s">
        <v>38</v>
      </c>
      <c r="W302" s="459">
        <v>6</v>
      </c>
      <c r="X302" s="125" t="s">
        <v>10</v>
      </c>
      <c r="Y302" s="39">
        <v>5</v>
      </c>
      <c r="Z302" s="125" t="s">
        <v>13</v>
      </c>
      <c r="AA302" s="460" t="s">
        <v>20</v>
      </c>
      <c r="AB302" s="461">
        <f t="shared" si="861"/>
        <v>2</v>
      </c>
      <c r="AC302" s="125" t="s">
        <v>33</v>
      </c>
      <c r="AD302" s="462" t="str">
        <f t="shared" ref="AD302" si="905">IFERROR(ROUNDDOWN(ROUND(L302*Q302,0),0)*AB302,"")</f>
        <v/>
      </c>
      <c r="AE302" s="463" t="str">
        <f t="shared" ref="AE302" si="906">IFERROR(ROUNDDOWN(ROUND(L302*(Q302-O302),0),0)*AB302,"")</f>
        <v/>
      </c>
      <c r="AF302" s="464"/>
      <c r="AG302" s="374"/>
      <c r="AH302" s="382"/>
      <c r="AI302" s="379"/>
      <c r="AJ302" s="380"/>
      <c r="AK302" s="360"/>
      <c r="AL302" s="361"/>
      <c r="AM302" s="465" t="str">
        <f t="shared" ref="AM302" si="907">IF(AO302="","",IF(Q302&lt;O302,"！加算の要件上は問題ありませんが、令和６年３月と比較して４・５月に加算率が下がる計画になっています。",""))</f>
        <v/>
      </c>
      <c r="AO302" s="466" t="str">
        <f>IF(K302&lt;&gt;"","P列・R列に色付け","")</f>
        <v/>
      </c>
      <c r="AP302" s="467" t="str">
        <f>IFERROR(VLOOKUP(K302,【参考】数式用!$AH$2:$AI$34,2,FALSE),"")</f>
        <v/>
      </c>
      <c r="AQ302" s="469" t="str">
        <f>P302&amp;P303&amp;P304</f>
        <v/>
      </c>
      <c r="AR302" s="467" t="str">
        <f t="shared" ref="AR302" si="908">IF(AF304&lt;&gt;0,IF(AG304="○","入力済","未入力"),"")</f>
        <v/>
      </c>
      <c r="AS302" s="468" t="str">
        <f>IF(OR(P302="処遇加算Ⅰ",P302="処遇加算Ⅱ"),IF(OR(AH302="○",AH302="令和６年度中に満たす"),"入力済","未入力"),"")</f>
        <v/>
      </c>
      <c r="AT302" s="469" t="str">
        <f>IF(P302="処遇加算Ⅲ",IF(AI302="○","入力済","未入力"),"")</f>
        <v/>
      </c>
      <c r="AU302" s="467" t="str">
        <f>IF(P302="処遇加算Ⅰ",IF(OR(AJ302="○",AJ302="令和６年度中に満たす"),"入力済","未入力"),"")</f>
        <v/>
      </c>
      <c r="AV302" s="467" t="str">
        <f t="shared" ref="AV302" si="909">IF(OR(P303="特定加算Ⅰ",P303="特定加算Ⅱ"),1,"")</f>
        <v/>
      </c>
      <c r="AW302" s="452" t="str">
        <f>IF(P303="特定加算Ⅰ",IF(AL303="","未入力","入力済"),"")</f>
        <v/>
      </c>
      <c r="AX302" s="452" t="str">
        <f>G302</f>
        <v/>
      </c>
    </row>
    <row r="303" spans="1:50" ht="32.1" customHeight="1">
      <c r="A303" s="1267"/>
      <c r="B303" s="1204"/>
      <c r="C303" s="1204"/>
      <c r="D303" s="1204"/>
      <c r="E303" s="1204"/>
      <c r="F303" s="1204"/>
      <c r="G303" s="1207"/>
      <c r="H303" s="1207"/>
      <c r="I303" s="1207"/>
      <c r="J303" s="1207"/>
      <c r="K303" s="1207"/>
      <c r="L303" s="1210"/>
      <c r="M303" s="470" t="s">
        <v>121</v>
      </c>
      <c r="N303" s="76"/>
      <c r="O303" s="471" t="str">
        <f>IFERROR(VLOOKUP(K302,【参考】数式用!$A$5:$J$37,MATCH(N303,【参考】数式用!$B$4:$J$4,0)+1,0),"")</f>
        <v/>
      </c>
      <c r="P303" s="76"/>
      <c r="Q303" s="471" t="str">
        <f>IFERROR(VLOOKUP(K302,【参考】数式用!$A$5:$J$37,MATCH(P303,【参考】数式用!$B$4:$J$4,0)+1,0),"")</f>
        <v/>
      </c>
      <c r="R303" s="96" t="s">
        <v>15</v>
      </c>
      <c r="S303" s="472">
        <v>6</v>
      </c>
      <c r="T303" s="97" t="s">
        <v>10</v>
      </c>
      <c r="U303" s="58">
        <v>4</v>
      </c>
      <c r="V303" s="97" t="s">
        <v>38</v>
      </c>
      <c r="W303" s="472">
        <v>6</v>
      </c>
      <c r="X303" s="97" t="s">
        <v>10</v>
      </c>
      <c r="Y303" s="58">
        <v>5</v>
      </c>
      <c r="Z303" s="97" t="s">
        <v>13</v>
      </c>
      <c r="AA303" s="473" t="s">
        <v>20</v>
      </c>
      <c r="AB303" s="474">
        <f t="shared" si="861"/>
        <v>2</v>
      </c>
      <c r="AC303" s="97" t="s">
        <v>33</v>
      </c>
      <c r="AD303" s="475" t="str">
        <f t="shared" ref="AD303" si="910">IFERROR(ROUNDDOWN(ROUND(L302*Q303,0),0)*AB303,"")</f>
        <v/>
      </c>
      <c r="AE303" s="476" t="str">
        <f t="shared" ref="AE303" si="911">IFERROR(ROUNDDOWN(ROUND(L302*(Q303-O303),0),0)*AB303,"")</f>
        <v/>
      </c>
      <c r="AF303" s="477"/>
      <c r="AG303" s="362"/>
      <c r="AH303" s="363"/>
      <c r="AI303" s="364"/>
      <c r="AJ303" s="365"/>
      <c r="AK303" s="366"/>
      <c r="AL303" s="367"/>
      <c r="AM303" s="478"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79"/>
      <c r="AO303" s="466" t="str">
        <f>IF(K302&lt;&gt;"","P列・R列に色付け","")</f>
        <v/>
      </c>
      <c r="AX303" s="452" t="str">
        <f>G302</f>
        <v/>
      </c>
    </row>
    <row r="304" spans="1:50" ht="32.1" customHeight="1" thickBot="1">
      <c r="A304" s="1268"/>
      <c r="B304" s="1205"/>
      <c r="C304" s="1205"/>
      <c r="D304" s="1205"/>
      <c r="E304" s="1205"/>
      <c r="F304" s="1205"/>
      <c r="G304" s="1208"/>
      <c r="H304" s="1208"/>
      <c r="I304" s="1208"/>
      <c r="J304" s="1208"/>
      <c r="K304" s="1208"/>
      <c r="L304" s="1211"/>
      <c r="M304" s="480" t="s">
        <v>114</v>
      </c>
      <c r="N304" s="79"/>
      <c r="O304" s="481" t="str">
        <f>IFERROR(VLOOKUP(K302,【参考】数式用!$A$5:$J$37,MATCH(N304,【参考】数式用!$B$4:$J$4,0)+1,0),"")</f>
        <v/>
      </c>
      <c r="P304" s="77"/>
      <c r="Q304" s="481" t="str">
        <f>IFERROR(VLOOKUP(K302,【参考】数式用!$A$5:$J$37,MATCH(P304,【参考】数式用!$B$4:$J$4,0)+1,0),"")</f>
        <v/>
      </c>
      <c r="R304" s="482" t="s">
        <v>15</v>
      </c>
      <c r="S304" s="483">
        <v>6</v>
      </c>
      <c r="T304" s="484" t="s">
        <v>10</v>
      </c>
      <c r="U304" s="59">
        <v>4</v>
      </c>
      <c r="V304" s="484" t="s">
        <v>38</v>
      </c>
      <c r="W304" s="483">
        <v>6</v>
      </c>
      <c r="X304" s="484" t="s">
        <v>10</v>
      </c>
      <c r="Y304" s="59">
        <v>5</v>
      </c>
      <c r="Z304" s="484" t="s">
        <v>13</v>
      </c>
      <c r="AA304" s="485" t="s">
        <v>20</v>
      </c>
      <c r="AB304" s="486">
        <f t="shared" si="861"/>
        <v>2</v>
      </c>
      <c r="AC304" s="484" t="s">
        <v>33</v>
      </c>
      <c r="AD304" s="487" t="str">
        <f t="shared" ref="AD304" si="913">IFERROR(ROUNDDOWN(ROUND(L302*Q304,0),0)*AB304,"")</f>
        <v/>
      </c>
      <c r="AE304" s="488" t="str">
        <f t="shared" ref="AE304" si="914">IFERROR(ROUNDDOWN(ROUND(L302*(Q304-O304),0),0)*AB304,"")</f>
        <v/>
      </c>
      <c r="AF304" s="489">
        <f t="shared" si="759"/>
        <v>0</v>
      </c>
      <c r="AG304" s="368"/>
      <c r="AH304" s="369"/>
      <c r="AI304" s="370"/>
      <c r="AJ304" s="371"/>
      <c r="AK304" s="372"/>
      <c r="AL304" s="373"/>
      <c r="AM304" s="490"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1" t="str">
        <f>IF(K302&lt;&gt;"","P列・R列に色付け","")</f>
        <v/>
      </c>
      <c r="AP304" s="492"/>
      <c r="AQ304" s="492"/>
      <c r="AW304" s="493"/>
      <c r="AX304" s="452" t="str">
        <f>G302</f>
        <v/>
      </c>
    </row>
    <row r="305" spans="1:50" ht="32.1" customHeight="1">
      <c r="A305" s="1266">
        <v>98</v>
      </c>
      <c r="B305" s="1203" t="str">
        <f>IF(基本情報入力シート!C151="","",基本情報入力シート!C151)</f>
        <v/>
      </c>
      <c r="C305" s="1203"/>
      <c r="D305" s="1203"/>
      <c r="E305" s="1203"/>
      <c r="F305" s="1203"/>
      <c r="G305" s="1206" t="str">
        <f>IF(基本情報入力シート!M151="","",基本情報入力シート!M151)</f>
        <v/>
      </c>
      <c r="H305" s="1206" t="str">
        <f>IF(基本情報入力シート!R151="","",基本情報入力シート!R151)</f>
        <v/>
      </c>
      <c r="I305" s="1206" t="str">
        <f>IF(基本情報入力シート!W151="","",基本情報入力シート!W151)</f>
        <v/>
      </c>
      <c r="J305" s="1206" t="str">
        <f>IF(基本情報入力シート!X151="","",基本情報入力シート!X151)</f>
        <v/>
      </c>
      <c r="K305" s="1206" t="str">
        <f>IF(基本情報入力シート!Y151="","",基本情報入力シート!Y151)</f>
        <v/>
      </c>
      <c r="L305" s="1209" t="str">
        <f>IF(基本情報入力シート!AB151="","",基本情報入力シート!AB151)</f>
        <v/>
      </c>
      <c r="M305" s="456" t="s">
        <v>132</v>
      </c>
      <c r="N305" s="75"/>
      <c r="O305" s="457" t="str">
        <f>IFERROR(VLOOKUP(K305,【参考】数式用!$A$5:$J$37,MATCH(N305,【参考】数式用!$B$4:$J$4,0)+1,0),"")</f>
        <v/>
      </c>
      <c r="P305" s="75"/>
      <c r="Q305" s="457" t="str">
        <f>IFERROR(VLOOKUP(K305,【参考】数式用!$A$5:$J$37,MATCH(P305,【参考】数式用!$B$4:$J$4,0)+1,0),"")</f>
        <v/>
      </c>
      <c r="R305" s="458" t="s">
        <v>15</v>
      </c>
      <c r="S305" s="459">
        <v>6</v>
      </c>
      <c r="T305" s="125" t="s">
        <v>10</v>
      </c>
      <c r="U305" s="39">
        <v>4</v>
      </c>
      <c r="V305" s="125" t="s">
        <v>38</v>
      </c>
      <c r="W305" s="459">
        <v>6</v>
      </c>
      <c r="X305" s="125" t="s">
        <v>10</v>
      </c>
      <c r="Y305" s="39">
        <v>5</v>
      </c>
      <c r="Z305" s="125" t="s">
        <v>13</v>
      </c>
      <c r="AA305" s="460" t="s">
        <v>20</v>
      </c>
      <c r="AB305" s="461">
        <f t="shared" si="861"/>
        <v>2</v>
      </c>
      <c r="AC305" s="125" t="s">
        <v>33</v>
      </c>
      <c r="AD305" s="462" t="str">
        <f t="shared" ref="AD305" si="916">IFERROR(ROUNDDOWN(ROUND(L305*Q305,0),0)*AB305,"")</f>
        <v/>
      </c>
      <c r="AE305" s="463" t="str">
        <f t="shared" si="720"/>
        <v/>
      </c>
      <c r="AF305" s="464"/>
      <c r="AG305" s="374"/>
      <c r="AH305" s="382"/>
      <c r="AI305" s="379"/>
      <c r="AJ305" s="380"/>
      <c r="AK305" s="360"/>
      <c r="AL305" s="361"/>
      <c r="AM305" s="465" t="str">
        <f t="shared" ref="AM305" si="917">IF(AO305="","",IF(Q305&lt;O305,"！加算の要件上は問題ありませんが、令和６年３月と比較して４・５月に加算率が下がる計画になっています。",""))</f>
        <v/>
      </c>
      <c r="AO305" s="466" t="str">
        <f>IF(K305&lt;&gt;"","P列・R列に色付け","")</f>
        <v/>
      </c>
      <c r="AP305" s="467" t="str">
        <f>IFERROR(VLOOKUP(K305,【参考】数式用!$AH$2:$AI$34,2,FALSE),"")</f>
        <v/>
      </c>
      <c r="AQ305" s="469" t="str">
        <f>P305&amp;P306&amp;P307</f>
        <v/>
      </c>
      <c r="AR305" s="467" t="str">
        <f t="shared" ref="AR305" si="918">IF(AF307&lt;&gt;0,IF(AG307="○","入力済","未入力"),"")</f>
        <v/>
      </c>
      <c r="AS305" s="468" t="str">
        <f>IF(OR(P305="処遇加算Ⅰ",P305="処遇加算Ⅱ"),IF(OR(AH305="○",AH305="令和６年度中に満たす"),"入力済","未入力"),"")</f>
        <v/>
      </c>
      <c r="AT305" s="469" t="str">
        <f>IF(P305="処遇加算Ⅲ",IF(AI305="○","入力済","未入力"),"")</f>
        <v/>
      </c>
      <c r="AU305" s="467" t="str">
        <f>IF(P305="処遇加算Ⅰ",IF(OR(AJ305="○",AJ305="令和６年度中に満たす"),"入力済","未入力"),"")</f>
        <v/>
      </c>
      <c r="AV305" s="467" t="str">
        <f t="shared" ref="AV305" si="919">IF(OR(P306="特定加算Ⅰ",P306="特定加算Ⅱ"),1,"")</f>
        <v/>
      </c>
      <c r="AW305" s="452" t="str">
        <f>IF(P306="特定加算Ⅰ",IF(AL306="","未入力","入力済"),"")</f>
        <v/>
      </c>
      <c r="AX305" s="452" t="str">
        <f>G305</f>
        <v/>
      </c>
    </row>
    <row r="306" spans="1:50" ht="32.1" customHeight="1">
      <c r="A306" s="1267"/>
      <c r="B306" s="1204"/>
      <c r="C306" s="1204"/>
      <c r="D306" s="1204"/>
      <c r="E306" s="1204"/>
      <c r="F306" s="1204"/>
      <c r="G306" s="1207"/>
      <c r="H306" s="1207"/>
      <c r="I306" s="1207"/>
      <c r="J306" s="1207"/>
      <c r="K306" s="1207"/>
      <c r="L306" s="1210"/>
      <c r="M306" s="470" t="s">
        <v>121</v>
      </c>
      <c r="N306" s="76"/>
      <c r="O306" s="471" t="str">
        <f>IFERROR(VLOOKUP(K305,【参考】数式用!$A$5:$J$37,MATCH(N306,【参考】数式用!$B$4:$J$4,0)+1,0),"")</f>
        <v/>
      </c>
      <c r="P306" s="76"/>
      <c r="Q306" s="471" t="str">
        <f>IFERROR(VLOOKUP(K305,【参考】数式用!$A$5:$J$37,MATCH(P306,【参考】数式用!$B$4:$J$4,0)+1,0),"")</f>
        <v/>
      </c>
      <c r="R306" s="96" t="s">
        <v>15</v>
      </c>
      <c r="S306" s="472">
        <v>6</v>
      </c>
      <c r="T306" s="97" t="s">
        <v>10</v>
      </c>
      <c r="U306" s="58">
        <v>4</v>
      </c>
      <c r="V306" s="97" t="s">
        <v>38</v>
      </c>
      <c r="W306" s="472">
        <v>6</v>
      </c>
      <c r="X306" s="97" t="s">
        <v>10</v>
      </c>
      <c r="Y306" s="58">
        <v>5</v>
      </c>
      <c r="Z306" s="97" t="s">
        <v>13</v>
      </c>
      <c r="AA306" s="473" t="s">
        <v>20</v>
      </c>
      <c r="AB306" s="474">
        <f t="shared" si="861"/>
        <v>2</v>
      </c>
      <c r="AC306" s="97" t="s">
        <v>33</v>
      </c>
      <c r="AD306" s="475" t="str">
        <f t="shared" ref="AD306" si="920">IFERROR(ROUNDDOWN(ROUND(L305*Q306,0),0)*AB306,"")</f>
        <v/>
      </c>
      <c r="AE306" s="476" t="str">
        <f t="shared" si="725"/>
        <v/>
      </c>
      <c r="AF306" s="477"/>
      <c r="AG306" s="362"/>
      <c r="AH306" s="363"/>
      <c r="AI306" s="364"/>
      <c r="AJ306" s="365"/>
      <c r="AK306" s="366"/>
      <c r="AL306" s="367"/>
      <c r="AM306" s="478"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79"/>
      <c r="AO306" s="466" t="str">
        <f>IF(K305&lt;&gt;"","P列・R列に色付け","")</f>
        <v/>
      </c>
      <c r="AX306" s="452" t="str">
        <f>G305</f>
        <v/>
      </c>
    </row>
    <row r="307" spans="1:50" ht="32.1" customHeight="1" thickBot="1">
      <c r="A307" s="1268"/>
      <c r="B307" s="1205"/>
      <c r="C307" s="1205"/>
      <c r="D307" s="1205"/>
      <c r="E307" s="1205"/>
      <c r="F307" s="1205"/>
      <c r="G307" s="1208"/>
      <c r="H307" s="1208"/>
      <c r="I307" s="1208"/>
      <c r="J307" s="1208"/>
      <c r="K307" s="1208"/>
      <c r="L307" s="1211"/>
      <c r="M307" s="480" t="s">
        <v>114</v>
      </c>
      <c r="N307" s="79"/>
      <c r="O307" s="481" t="str">
        <f>IFERROR(VLOOKUP(K305,【参考】数式用!$A$5:$J$37,MATCH(N307,【参考】数式用!$B$4:$J$4,0)+1,0),"")</f>
        <v/>
      </c>
      <c r="P307" s="77"/>
      <c r="Q307" s="481" t="str">
        <f>IFERROR(VLOOKUP(K305,【参考】数式用!$A$5:$J$37,MATCH(P307,【参考】数式用!$B$4:$J$4,0)+1,0),"")</f>
        <v/>
      </c>
      <c r="R307" s="482" t="s">
        <v>15</v>
      </c>
      <c r="S307" s="483">
        <v>6</v>
      </c>
      <c r="T307" s="484" t="s">
        <v>10</v>
      </c>
      <c r="U307" s="59">
        <v>4</v>
      </c>
      <c r="V307" s="484" t="s">
        <v>38</v>
      </c>
      <c r="W307" s="483">
        <v>6</v>
      </c>
      <c r="X307" s="484" t="s">
        <v>10</v>
      </c>
      <c r="Y307" s="59">
        <v>5</v>
      </c>
      <c r="Z307" s="484" t="s">
        <v>13</v>
      </c>
      <c r="AA307" s="485" t="s">
        <v>20</v>
      </c>
      <c r="AB307" s="486">
        <f t="shared" si="861"/>
        <v>2</v>
      </c>
      <c r="AC307" s="484" t="s">
        <v>33</v>
      </c>
      <c r="AD307" s="487" t="str">
        <f t="shared" ref="AD307" si="922">IFERROR(ROUNDDOWN(ROUND(L305*Q307,0),0)*AB307,"")</f>
        <v/>
      </c>
      <c r="AE307" s="488" t="str">
        <f t="shared" si="728"/>
        <v/>
      </c>
      <c r="AF307" s="489">
        <f t="shared" si="759"/>
        <v>0</v>
      </c>
      <c r="AG307" s="368"/>
      <c r="AH307" s="369"/>
      <c r="AI307" s="370"/>
      <c r="AJ307" s="371"/>
      <c r="AK307" s="372"/>
      <c r="AL307" s="373"/>
      <c r="AM307" s="490"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1" t="str">
        <f>IF(K305&lt;&gt;"","P列・R列に色付け","")</f>
        <v/>
      </c>
      <c r="AP307" s="492"/>
      <c r="AQ307" s="492"/>
      <c r="AW307" s="493"/>
      <c r="AX307" s="452" t="str">
        <f>G305</f>
        <v/>
      </c>
    </row>
    <row r="308" spans="1:50" ht="32.1" customHeight="1">
      <c r="A308" s="1266">
        <v>99</v>
      </c>
      <c r="B308" s="1203" t="str">
        <f>IF(基本情報入力シート!C152="","",基本情報入力シート!C152)</f>
        <v/>
      </c>
      <c r="C308" s="1203"/>
      <c r="D308" s="1203"/>
      <c r="E308" s="1203"/>
      <c r="F308" s="1203"/>
      <c r="G308" s="1206" t="str">
        <f>IF(基本情報入力シート!M152="","",基本情報入力シート!M152)</f>
        <v/>
      </c>
      <c r="H308" s="1206" t="str">
        <f>IF(基本情報入力シート!R152="","",基本情報入力シート!R152)</f>
        <v/>
      </c>
      <c r="I308" s="1206" t="str">
        <f>IF(基本情報入力シート!W152="","",基本情報入力シート!W152)</f>
        <v/>
      </c>
      <c r="J308" s="1206" t="str">
        <f>IF(基本情報入力シート!X152="","",基本情報入力シート!X152)</f>
        <v/>
      </c>
      <c r="K308" s="1206" t="str">
        <f>IF(基本情報入力シート!Y152="","",基本情報入力シート!Y152)</f>
        <v/>
      </c>
      <c r="L308" s="1209" t="str">
        <f>IF(基本情報入力シート!AB152="","",基本情報入力シート!AB152)</f>
        <v/>
      </c>
      <c r="M308" s="456" t="s">
        <v>132</v>
      </c>
      <c r="N308" s="75"/>
      <c r="O308" s="457" t="str">
        <f>IFERROR(VLOOKUP(K308,【参考】数式用!$A$5:$J$37,MATCH(N308,【参考】数式用!$B$4:$J$4,0)+1,0),"")</f>
        <v/>
      </c>
      <c r="P308" s="75"/>
      <c r="Q308" s="457" t="str">
        <f>IFERROR(VLOOKUP(K308,【参考】数式用!$A$5:$J$37,MATCH(P308,【参考】数式用!$B$4:$J$4,0)+1,0),"")</f>
        <v/>
      </c>
      <c r="R308" s="458" t="s">
        <v>15</v>
      </c>
      <c r="S308" s="459">
        <v>6</v>
      </c>
      <c r="T308" s="125" t="s">
        <v>10</v>
      </c>
      <c r="U308" s="39">
        <v>4</v>
      </c>
      <c r="V308" s="125" t="s">
        <v>38</v>
      </c>
      <c r="W308" s="459">
        <v>6</v>
      </c>
      <c r="X308" s="125" t="s">
        <v>10</v>
      </c>
      <c r="Y308" s="39">
        <v>5</v>
      </c>
      <c r="Z308" s="125" t="s">
        <v>13</v>
      </c>
      <c r="AA308" s="460" t="s">
        <v>20</v>
      </c>
      <c r="AB308" s="461">
        <f t="shared" si="861"/>
        <v>2</v>
      </c>
      <c r="AC308" s="125" t="s">
        <v>33</v>
      </c>
      <c r="AD308" s="462" t="str">
        <f t="shared" ref="AD308" si="924">IFERROR(ROUNDDOWN(ROUND(L308*Q308,0),0)*AB308,"")</f>
        <v/>
      </c>
      <c r="AE308" s="463" t="str">
        <f>IFERROR(ROUNDDOWN(ROUND(L308*(Q308-O308),0),0)*AB308,"")</f>
        <v/>
      </c>
      <c r="AF308" s="464"/>
      <c r="AG308" s="374"/>
      <c r="AH308" s="382"/>
      <c r="AI308" s="379"/>
      <c r="AJ308" s="380"/>
      <c r="AK308" s="360"/>
      <c r="AL308" s="361"/>
      <c r="AM308" s="465" t="str">
        <f t="shared" ref="AM308" si="925">IF(AO308="","",IF(Q308&lt;O308,"！加算の要件上は問題ありませんが、令和６年３月と比較して４・５月に加算率が下がる計画になっています。",""))</f>
        <v/>
      </c>
      <c r="AO308" s="466" t="str">
        <f>IF(K308&lt;&gt;"","P列・R列に色付け","")</f>
        <v/>
      </c>
      <c r="AP308" s="467" t="str">
        <f>IFERROR(VLOOKUP(K308,【参考】数式用!$AH$2:$AI$34,2,FALSE),"")</f>
        <v/>
      </c>
      <c r="AQ308" s="469" t="str">
        <f>P308&amp;P309&amp;P310</f>
        <v/>
      </c>
      <c r="AR308" s="467" t="str">
        <f t="shared" ref="AR308" si="926">IF(AF310&lt;&gt;0,IF(AG310="○","入力済","未入力"),"")</f>
        <v/>
      </c>
      <c r="AS308" s="468" t="str">
        <f>IF(OR(P308="処遇加算Ⅰ",P308="処遇加算Ⅱ"),IF(OR(AH308="○",AH308="令和６年度中に満たす"),"入力済","未入力"),"")</f>
        <v/>
      </c>
      <c r="AT308" s="469" t="str">
        <f>IF(P308="処遇加算Ⅲ",IF(AI308="○","入力済","未入力"),"")</f>
        <v/>
      </c>
      <c r="AU308" s="467" t="str">
        <f>IF(P308="処遇加算Ⅰ",IF(OR(AJ308="○",AJ308="令和６年度中に満たす"),"入力済","未入力"),"")</f>
        <v/>
      </c>
      <c r="AV308" s="467" t="str">
        <f t="shared" ref="AV308" si="927">IF(OR(P309="特定加算Ⅰ",P309="特定加算Ⅱ"),1,"")</f>
        <v/>
      </c>
      <c r="AW308" s="452" t="str">
        <f>IF(P309="特定加算Ⅰ",IF(AL309="","未入力","入力済"),"")</f>
        <v/>
      </c>
      <c r="AX308" s="452" t="str">
        <f>G308</f>
        <v/>
      </c>
    </row>
    <row r="309" spans="1:50" ht="32.1" customHeight="1">
      <c r="A309" s="1267"/>
      <c r="B309" s="1204"/>
      <c r="C309" s="1204"/>
      <c r="D309" s="1204"/>
      <c r="E309" s="1204"/>
      <c r="F309" s="1204"/>
      <c r="G309" s="1207"/>
      <c r="H309" s="1207"/>
      <c r="I309" s="1207"/>
      <c r="J309" s="1207"/>
      <c r="K309" s="1207"/>
      <c r="L309" s="1210"/>
      <c r="M309" s="470" t="s">
        <v>121</v>
      </c>
      <c r="N309" s="76"/>
      <c r="O309" s="471" t="str">
        <f>IFERROR(VLOOKUP(K308,【参考】数式用!$A$5:$J$37,MATCH(N309,【参考】数式用!$B$4:$J$4,0)+1,0),"")</f>
        <v/>
      </c>
      <c r="P309" s="76"/>
      <c r="Q309" s="471" t="str">
        <f>IFERROR(VLOOKUP(K308,【参考】数式用!$A$5:$J$37,MATCH(P309,【参考】数式用!$B$4:$J$4,0)+1,0),"")</f>
        <v/>
      </c>
      <c r="R309" s="96" t="s">
        <v>15</v>
      </c>
      <c r="S309" s="472">
        <v>6</v>
      </c>
      <c r="T309" s="97" t="s">
        <v>10</v>
      </c>
      <c r="U309" s="58">
        <v>4</v>
      </c>
      <c r="V309" s="97" t="s">
        <v>38</v>
      </c>
      <c r="W309" s="472">
        <v>6</v>
      </c>
      <c r="X309" s="97" t="s">
        <v>10</v>
      </c>
      <c r="Y309" s="58">
        <v>5</v>
      </c>
      <c r="Z309" s="97" t="s">
        <v>13</v>
      </c>
      <c r="AA309" s="473" t="s">
        <v>20</v>
      </c>
      <c r="AB309" s="474">
        <f t="shared" si="861"/>
        <v>2</v>
      </c>
      <c r="AC309" s="97" t="s">
        <v>33</v>
      </c>
      <c r="AD309" s="475" t="str">
        <f t="shared" ref="AD309" si="928">IFERROR(ROUNDDOWN(ROUND(L308*Q309,0),0)*AB309,"")</f>
        <v/>
      </c>
      <c r="AE309" s="476" t="str">
        <f>IFERROR(ROUNDDOWN(ROUND(L308*(Q309-O309),0),0)*AB309,"")</f>
        <v/>
      </c>
      <c r="AF309" s="477"/>
      <c r="AG309" s="362"/>
      <c r="AH309" s="363"/>
      <c r="AI309" s="364"/>
      <c r="AJ309" s="365"/>
      <c r="AK309" s="366"/>
      <c r="AL309" s="367"/>
      <c r="AM309" s="478"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79"/>
      <c r="AO309" s="466" t="str">
        <f>IF(K308&lt;&gt;"","P列・R列に色付け","")</f>
        <v/>
      </c>
      <c r="AX309" s="452" t="str">
        <f>G308</f>
        <v/>
      </c>
    </row>
    <row r="310" spans="1:50" ht="32.1" customHeight="1" thickBot="1">
      <c r="A310" s="1268"/>
      <c r="B310" s="1205"/>
      <c r="C310" s="1205"/>
      <c r="D310" s="1205"/>
      <c r="E310" s="1205"/>
      <c r="F310" s="1205"/>
      <c r="G310" s="1208"/>
      <c r="H310" s="1208"/>
      <c r="I310" s="1208"/>
      <c r="J310" s="1208"/>
      <c r="K310" s="1208"/>
      <c r="L310" s="1211"/>
      <c r="M310" s="480" t="s">
        <v>114</v>
      </c>
      <c r="N310" s="79"/>
      <c r="O310" s="481" t="str">
        <f>IFERROR(VLOOKUP(K308,【参考】数式用!$A$5:$J$37,MATCH(N310,【参考】数式用!$B$4:$J$4,0)+1,0),"")</f>
        <v/>
      </c>
      <c r="P310" s="77"/>
      <c r="Q310" s="481" t="str">
        <f>IFERROR(VLOOKUP(K308,【参考】数式用!$A$5:$J$37,MATCH(P310,【参考】数式用!$B$4:$J$4,0)+1,0),"")</f>
        <v/>
      </c>
      <c r="R310" s="482" t="s">
        <v>15</v>
      </c>
      <c r="S310" s="483">
        <v>6</v>
      </c>
      <c r="T310" s="484" t="s">
        <v>10</v>
      </c>
      <c r="U310" s="59">
        <v>4</v>
      </c>
      <c r="V310" s="484" t="s">
        <v>38</v>
      </c>
      <c r="W310" s="483">
        <v>6</v>
      </c>
      <c r="X310" s="484" t="s">
        <v>10</v>
      </c>
      <c r="Y310" s="59">
        <v>5</v>
      </c>
      <c r="Z310" s="484" t="s">
        <v>13</v>
      </c>
      <c r="AA310" s="485" t="s">
        <v>20</v>
      </c>
      <c r="AB310" s="486">
        <f t="shared" si="861"/>
        <v>2</v>
      </c>
      <c r="AC310" s="484" t="s">
        <v>33</v>
      </c>
      <c r="AD310" s="487" t="str">
        <f t="shared" ref="AD310" si="930">IFERROR(ROUNDDOWN(ROUND(L308*Q310,0),0)*AB310,"")</f>
        <v/>
      </c>
      <c r="AE310" s="488" t="str">
        <f>IFERROR(ROUNDDOWN(ROUND(L308*(Q310-O310),0),0)*AB310,"")</f>
        <v/>
      </c>
      <c r="AF310" s="489">
        <f t="shared" si="759"/>
        <v>0</v>
      </c>
      <c r="AG310" s="368"/>
      <c r="AH310" s="369"/>
      <c r="AI310" s="370"/>
      <c r="AJ310" s="371"/>
      <c r="AK310" s="372"/>
      <c r="AL310" s="373"/>
      <c r="AM310" s="490"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1" t="str">
        <f>IF(K308&lt;&gt;"","P列・R列に色付け","")</f>
        <v/>
      </c>
      <c r="AP310" s="492"/>
      <c r="AQ310" s="492"/>
      <c r="AW310" s="493"/>
      <c r="AX310" s="452" t="str">
        <f>G308</f>
        <v/>
      </c>
    </row>
    <row r="311" spans="1:50" ht="32.1" customHeight="1">
      <c r="A311" s="1266">
        <v>100</v>
      </c>
      <c r="B311" s="1203" t="str">
        <f>IF(基本情報入力シート!C153="","",基本情報入力シート!C153)</f>
        <v/>
      </c>
      <c r="C311" s="1203"/>
      <c r="D311" s="1203"/>
      <c r="E311" s="1203"/>
      <c r="F311" s="1203"/>
      <c r="G311" s="1206" t="str">
        <f>IF(基本情報入力シート!M153="","",基本情報入力シート!M153)</f>
        <v/>
      </c>
      <c r="H311" s="1206" t="str">
        <f>IF(基本情報入力シート!R153="","",基本情報入力シート!R153)</f>
        <v/>
      </c>
      <c r="I311" s="1206" t="str">
        <f>IF(基本情報入力シート!W153="","",基本情報入力シート!W153)</f>
        <v/>
      </c>
      <c r="J311" s="1206" t="str">
        <f>IF(基本情報入力シート!X153="","",基本情報入力シート!X153)</f>
        <v/>
      </c>
      <c r="K311" s="1206" t="str">
        <f>IF(基本情報入力シート!Y153="","",基本情報入力シート!Y153)</f>
        <v/>
      </c>
      <c r="L311" s="1209" t="str">
        <f>IF(基本情報入力シート!AB153="","",基本情報入力シート!AB153)</f>
        <v/>
      </c>
      <c r="M311" s="456" t="s">
        <v>132</v>
      </c>
      <c r="N311" s="75"/>
      <c r="O311" s="457" t="str">
        <f>IFERROR(VLOOKUP(K311,【参考】数式用!$A$5:$J$37,MATCH(N311,【参考】数式用!$B$4:$J$4,0)+1,0),"")</f>
        <v/>
      </c>
      <c r="P311" s="75"/>
      <c r="Q311" s="457" t="str">
        <f>IFERROR(VLOOKUP(K311,【参考】数式用!$A$5:$J$37,MATCH(P311,【参考】数式用!$B$4:$J$4,0)+1,0),"")</f>
        <v/>
      </c>
      <c r="R311" s="458" t="s">
        <v>15</v>
      </c>
      <c r="S311" s="459">
        <v>6</v>
      </c>
      <c r="T311" s="125" t="s">
        <v>10</v>
      </c>
      <c r="U311" s="39">
        <v>4</v>
      </c>
      <c r="V311" s="125" t="s">
        <v>38</v>
      </c>
      <c r="W311" s="459">
        <v>6</v>
      </c>
      <c r="X311" s="125" t="s">
        <v>10</v>
      </c>
      <c r="Y311" s="39">
        <v>5</v>
      </c>
      <c r="Z311" s="125" t="s">
        <v>13</v>
      </c>
      <c r="AA311" s="460" t="s">
        <v>20</v>
      </c>
      <c r="AB311" s="461">
        <f t="shared" si="861"/>
        <v>2</v>
      </c>
      <c r="AC311" s="125" t="s">
        <v>33</v>
      </c>
      <c r="AD311" s="462" t="str">
        <f>IFERROR(ROUNDDOWN(ROUND(L311*Q311,0),0)*AB311,"")</f>
        <v/>
      </c>
      <c r="AE311" s="463" t="str">
        <f t="shared" ref="AE311" si="932">IFERROR(ROUNDDOWN(ROUND(L311*(Q311-O311),0),0)*AB311,"")</f>
        <v/>
      </c>
      <c r="AF311" s="464"/>
      <c r="AG311" s="374"/>
      <c r="AH311" s="382"/>
      <c r="AI311" s="379"/>
      <c r="AJ311" s="380"/>
      <c r="AK311" s="360"/>
      <c r="AL311" s="361"/>
      <c r="AM311" s="465" t="str">
        <f t="shared" ref="AM311" si="933">IF(AO311="","",IF(Q311&lt;O311,"！加算の要件上は問題ありませんが、令和６年３月と比較して４・５月に加算率が下がる計画になっています。",""))</f>
        <v/>
      </c>
      <c r="AO311" s="466" t="str">
        <f>IF(K311&lt;&gt;"","P列・R列に色付け","")</f>
        <v/>
      </c>
      <c r="AP311" s="467" t="str">
        <f>IFERROR(VLOOKUP(K311,【参考】数式用!$AH$2:$AI$34,2,FALSE),"")</f>
        <v/>
      </c>
      <c r="AQ311" s="469" t="str">
        <f>P311&amp;P312&amp;P313</f>
        <v/>
      </c>
      <c r="AR311" s="467" t="str">
        <f t="shared" ref="AR311" si="934">IF(AF313&lt;&gt;0,IF(AG313="○","入力済","未入力"),"")</f>
        <v/>
      </c>
      <c r="AS311" s="468" t="str">
        <f>IF(OR(P311="処遇加算Ⅰ",P311="処遇加算Ⅱ"),IF(OR(AH311="○",AH311="令和６年度中に満たす"),"入力済","未入力"),"")</f>
        <v/>
      </c>
      <c r="AT311" s="469" t="str">
        <f>IF(P311="処遇加算Ⅲ",IF(AI311="○","入力済","未入力"),"")</f>
        <v/>
      </c>
      <c r="AU311" s="467" t="str">
        <f>IF(P311="処遇加算Ⅰ",IF(OR(AJ311="○",AJ311="令和６年度中に満たす"),"入力済","未入力"),"")</f>
        <v/>
      </c>
      <c r="AV311" s="467" t="str">
        <f t="shared" ref="AV311" si="935">IF(OR(P312="特定加算Ⅰ",P312="特定加算Ⅱ"),1,"")</f>
        <v/>
      </c>
      <c r="AW311" s="452" t="str">
        <f>IF(P312="特定加算Ⅰ",IF(AL312="","未入力","入力済"),"")</f>
        <v/>
      </c>
      <c r="AX311" s="452" t="str">
        <f>G311</f>
        <v/>
      </c>
    </row>
    <row r="312" spans="1:50" ht="32.1" customHeight="1">
      <c r="A312" s="1267"/>
      <c r="B312" s="1204"/>
      <c r="C312" s="1204"/>
      <c r="D312" s="1204"/>
      <c r="E312" s="1204"/>
      <c r="F312" s="1204"/>
      <c r="G312" s="1207"/>
      <c r="H312" s="1207"/>
      <c r="I312" s="1207"/>
      <c r="J312" s="1207"/>
      <c r="K312" s="1207"/>
      <c r="L312" s="1210"/>
      <c r="M312" s="470" t="s">
        <v>121</v>
      </c>
      <c r="N312" s="76"/>
      <c r="O312" s="471" t="str">
        <f>IFERROR(VLOOKUP(K311,【参考】数式用!$A$5:$J$37,MATCH(N312,【参考】数式用!$B$4:$J$4,0)+1,0),"")</f>
        <v/>
      </c>
      <c r="P312" s="76"/>
      <c r="Q312" s="471" t="str">
        <f>IFERROR(VLOOKUP(K311,【参考】数式用!$A$5:$J$37,MATCH(P312,【参考】数式用!$B$4:$J$4,0)+1,0),"")</f>
        <v/>
      </c>
      <c r="R312" s="96" t="s">
        <v>15</v>
      </c>
      <c r="S312" s="472">
        <v>6</v>
      </c>
      <c r="T312" s="97" t="s">
        <v>10</v>
      </c>
      <c r="U312" s="58">
        <v>4</v>
      </c>
      <c r="V312" s="97" t="s">
        <v>38</v>
      </c>
      <c r="W312" s="472">
        <v>6</v>
      </c>
      <c r="X312" s="97" t="s">
        <v>10</v>
      </c>
      <c r="Y312" s="58">
        <v>5</v>
      </c>
      <c r="Z312" s="97" t="s">
        <v>13</v>
      </c>
      <c r="AA312" s="473" t="s">
        <v>20</v>
      </c>
      <c r="AB312" s="474">
        <f t="shared" si="861"/>
        <v>2</v>
      </c>
      <c r="AC312" s="97" t="s">
        <v>33</v>
      </c>
      <c r="AD312" s="475" t="str">
        <f t="shared" ref="AD312" si="936">IFERROR(ROUNDDOWN(ROUND(L311*Q312,0),0)*AB312,"")</f>
        <v/>
      </c>
      <c r="AE312" s="476" t="str">
        <f t="shared" ref="AE312" si="937">IFERROR(ROUNDDOWN(ROUND(L311*(Q312-O312),0),0)*AB312,"")</f>
        <v/>
      </c>
      <c r="AF312" s="477"/>
      <c r="AG312" s="362"/>
      <c r="AH312" s="363"/>
      <c r="AI312" s="364"/>
      <c r="AJ312" s="365"/>
      <c r="AK312" s="366"/>
      <c r="AL312" s="367"/>
      <c r="AM312" s="478"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79"/>
      <c r="AO312" s="466" t="str">
        <f>IF(K311&lt;&gt;"","P列・R列に色付け","")</f>
        <v/>
      </c>
      <c r="AX312" s="452" t="str">
        <f>G311</f>
        <v/>
      </c>
    </row>
    <row r="313" spans="1:50" ht="32.1" customHeight="1" thickBot="1">
      <c r="A313" s="1268"/>
      <c r="B313" s="1205"/>
      <c r="C313" s="1205"/>
      <c r="D313" s="1205"/>
      <c r="E313" s="1205"/>
      <c r="F313" s="1205"/>
      <c r="G313" s="1208"/>
      <c r="H313" s="1208"/>
      <c r="I313" s="1208"/>
      <c r="J313" s="1208"/>
      <c r="K313" s="1208"/>
      <c r="L313" s="1211"/>
      <c r="M313" s="480" t="s">
        <v>114</v>
      </c>
      <c r="N313" s="583"/>
      <c r="O313" s="481" t="str">
        <f>IFERROR(VLOOKUP(K311,【参考】数式用!$A$5:$J$37,MATCH(N313,【参考】数式用!$B$4:$J$4,0)+1,0),"")</f>
        <v/>
      </c>
      <c r="P313" s="77"/>
      <c r="Q313" s="481" t="str">
        <f>IFERROR(VLOOKUP(K311,【参考】数式用!$A$5:$J$37,MATCH(P313,【参考】数式用!$B$4:$J$4,0)+1,0),"")</f>
        <v/>
      </c>
      <c r="R313" s="482" t="s">
        <v>15</v>
      </c>
      <c r="S313" s="483">
        <v>6</v>
      </c>
      <c r="T313" s="484" t="s">
        <v>10</v>
      </c>
      <c r="U313" s="59">
        <v>4</v>
      </c>
      <c r="V313" s="484" t="s">
        <v>38</v>
      </c>
      <c r="W313" s="483">
        <v>6</v>
      </c>
      <c r="X313" s="484" t="s">
        <v>10</v>
      </c>
      <c r="Y313" s="59">
        <v>5</v>
      </c>
      <c r="Z313" s="484" t="s">
        <v>13</v>
      </c>
      <c r="AA313" s="485" t="s">
        <v>20</v>
      </c>
      <c r="AB313" s="486">
        <f t="shared" si="861"/>
        <v>2</v>
      </c>
      <c r="AC313" s="484" t="s">
        <v>33</v>
      </c>
      <c r="AD313" s="487" t="str">
        <f t="shared" ref="AD313" si="939">IFERROR(ROUNDDOWN(ROUND(L311*Q313,0),0)*AB313,"")</f>
        <v/>
      </c>
      <c r="AE313" s="488" t="str">
        <f t="shared" ref="AE313" si="940">IFERROR(ROUNDDOWN(ROUND(L311*(Q313-O313),0),0)*AB313,"")</f>
        <v/>
      </c>
      <c r="AF313" s="489">
        <f t="shared" si="759"/>
        <v>0</v>
      </c>
      <c r="AG313" s="368"/>
      <c r="AH313" s="369"/>
      <c r="AI313" s="370"/>
      <c r="AJ313" s="371"/>
      <c r="AK313" s="372"/>
      <c r="AL313" s="373"/>
      <c r="AM313" s="490"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1" t="str">
        <f>IF(K311&lt;&gt;"","P列・R列に色付け","")</f>
        <v/>
      </c>
      <c r="AP313" s="492"/>
      <c r="AQ313" s="492"/>
      <c r="AW313" s="493"/>
      <c r="AX313" s="452" t="str">
        <f>G311</f>
        <v/>
      </c>
    </row>
    <row r="314" spans="1:50">
      <c r="K314" s="400"/>
      <c r="L314" s="340"/>
      <c r="M314" s="340"/>
      <c r="N314" s="503"/>
      <c r="O314" s="504"/>
      <c r="P314" s="503"/>
      <c r="Q314" s="504"/>
      <c r="R314" s="340"/>
      <c r="AO314"/>
      <c r="AP314"/>
      <c r="AQ314"/>
      <c r="AR314"/>
      <c r="AS314"/>
      <c r="AT314"/>
      <c r="AU314"/>
      <c r="AV314" s="467"/>
      <c r="AW314"/>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Y14:Y314">
    <cfRule type="expression" dxfId="34" priority="1">
      <formula>Y14=4</formula>
    </cfRule>
  </conditionalFormatting>
  <conditionalFormatting sqref="AE14:AE314">
    <cfRule type="expression" dxfId="33" priority="2">
      <formula>AE14&lt;0</formula>
    </cfRule>
  </conditionalFormatting>
  <conditionalFormatting sqref="AG16:AG314">
    <cfRule type="expression" dxfId="32" priority="9">
      <formula>AND($N16="ベア加算なし",$P16="ベア加算")</formula>
    </cfRule>
  </conditionalFormatting>
  <conditionalFormatting sqref="AH14:AH314">
    <cfRule type="expression" dxfId="31" priority="1841">
      <formula>OR(P14="処遇加算Ⅰ",P14="処遇加算Ⅱ")</formula>
    </cfRule>
  </conditionalFormatting>
  <conditionalFormatting sqref="AI14:AI314">
    <cfRule type="expression" dxfId="30" priority="1840">
      <formula>P14="処遇加算Ⅲ"</formula>
    </cfRule>
  </conditionalFormatting>
  <conditionalFormatting sqref="AJ14:AJ314">
    <cfRule type="expression" dxfId="29" priority="1839">
      <formula>P14="処遇加算Ⅰ"</formula>
    </cfRule>
  </conditionalFormatting>
  <conditionalFormatting sqref="AK11">
    <cfRule type="expression" dxfId="28" priority="18368">
      <formula>$AK$11="○"</formula>
    </cfRule>
  </conditionalFormatting>
  <conditionalFormatting sqref="AK15:AK313">
    <cfRule type="expression" dxfId="27" priority="18509">
      <formula>OR(P15="特定加算Ⅰ",P15="特定加算Ⅱ")</formula>
    </cfRule>
  </conditionalFormatting>
  <conditionalFormatting sqref="AL15:AL314">
    <cfRule type="expression" dxfId="26" priority="1852">
      <formula>P15="特定加算Ⅰ"</formula>
    </cfRule>
  </conditionalFormatting>
  <conditionalFormatting sqref="AM11">
    <cfRule type="expression" dxfId="25" priority="18370">
      <formula>$AK$11&lt;&gt;"×"</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customWidth="1"/>
    <col min="2" max="6" width="2.625" style="426" customWidth="1"/>
    <col min="7" max="7" width="12.625" customWidth="1"/>
    <col min="8" max="8" width="9" customWidth="1"/>
    <col min="9" max="9" width="9.375" style="582" customWidth="1"/>
    <col min="10" max="10" width="14.625" customWidth="1"/>
    <col min="11" max="11" width="17.375" style="196" customWidth="1"/>
    <col min="12" max="12" width="15.875" customWidth="1"/>
    <col min="13" max="13" width="15" style="507" customWidth="1"/>
    <col min="14" max="14" width="5.875" style="507" customWidth="1"/>
    <col min="15" max="15" width="2.125" style="506" customWidth="1"/>
    <col min="16" max="16" width="15" style="507" customWidth="1"/>
    <col min="17" max="17" width="2" style="507" customWidth="1"/>
    <col min="18" max="18" width="7.125" style="507" customWidth="1"/>
    <col min="19" max="19" width="18.375" style="507" customWidth="1"/>
    <col min="20" max="20" width="15.125" style="506" customWidth="1"/>
    <col min="21" max="21" width="7" style="507" customWidth="1"/>
    <col min="22" max="22" width="4.625" style="196" customWidth="1"/>
    <col min="23" max="24" width="2.875" style="196" customWidth="1"/>
    <col min="25" max="25" width="3.625" style="196" customWidth="1"/>
    <col min="26" max="26" width="9.875" style="196" customWidth="1"/>
    <col min="27" max="28" width="2.875" style="196" customWidth="1"/>
    <col min="29" max="29" width="3.5" style="196" customWidth="1"/>
    <col min="30" max="31" width="2.875" style="196" customWidth="1"/>
    <col min="32" max="32" width="4.625" style="196" customWidth="1"/>
    <col min="33" max="33" width="6.125" style="196" customWidth="1"/>
    <col min="34" max="34" width="15.875" style="507" customWidth="1"/>
    <col min="35" max="36" width="14.375" style="507" customWidth="1"/>
    <col min="37" max="37" width="9.875" customWidth="1"/>
    <col min="38" max="38" width="14.375" style="507" customWidth="1"/>
    <col min="39" max="39" width="9.875" customWidth="1"/>
    <col min="40" max="40" width="11.875" customWidth="1"/>
    <col min="41" max="41" width="9.875" customWidth="1"/>
    <col min="42" max="42" width="12.25" customWidth="1"/>
    <col min="43" max="43" width="11.875" style="556" customWidth="1"/>
    <col min="44" max="44" width="22.375" style="343" customWidth="1"/>
    <col min="45" max="45" width="50.625" style="343" customWidth="1"/>
    <col min="46" max="46" width="7.125" style="343" customWidth="1"/>
    <col min="47" max="61" width="6.875" style="340" hidden="1" customWidth="1"/>
    <col min="62" max="62" width="6.875" style="493" hidden="1" customWidth="1"/>
    <col min="63" max="63" width="22.125" hidden="1" customWidth="1"/>
  </cols>
  <sheetData>
    <row r="1" spans="1:63" ht="29.25" customHeight="1">
      <c r="A1" s="579" t="s">
        <v>2057</v>
      </c>
      <c r="B1" s="394"/>
      <c r="C1" s="394"/>
      <c r="D1" s="394"/>
      <c r="E1" s="394"/>
      <c r="F1" s="394"/>
      <c r="G1" s="86"/>
      <c r="H1" s="86"/>
      <c r="I1" s="580"/>
      <c r="J1" s="86"/>
      <c r="K1" s="85"/>
      <c r="L1" s="86"/>
      <c r="M1" s="396"/>
      <c r="N1" s="396"/>
      <c r="O1" s="508"/>
      <c r="P1" s="509"/>
      <c r="Q1" s="509"/>
      <c r="R1" s="396"/>
      <c r="S1" s="509"/>
      <c r="T1" s="508"/>
      <c r="U1" s="509"/>
      <c r="V1" s="194"/>
      <c r="W1" s="510"/>
      <c r="X1" s="510"/>
      <c r="Y1" s="510"/>
      <c r="Z1" s="510"/>
      <c r="AA1" s="510"/>
      <c r="AB1" s="510"/>
      <c r="AC1" s="510"/>
      <c r="AD1" s="510"/>
      <c r="AE1" s="510"/>
      <c r="AF1" s="510"/>
      <c r="AG1" s="510"/>
      <c r="AH1" s="511"/>
      <c r="AI1" s="509"/>
      <c r="AJ1" s="511"/>
      <c r="AK1" s="512"/>
      <c r="AL1" s="511"/>
      <c r="AM1" s="512"/>
      <c r="AN1" s="84"/>
      <c r="AO1" s="84"/>
      <c r="AP1" s="1310" t="s">
        <v>47</v>
      </c>
      <c r="AQ1" s="1311"/>
      <c r="AR1" s="513" t="str">
        <f>IF(基本情報入力シート!C33="","",基本情報入力シート!C33)</f>
        <v/>
      </c>
      <c r="AS1" s="514"/>
      <c r="AT1" s="515"/>
      <c r="BE1" s="493"/>
      <c r="BF1"/>
      <c r="BG1"/>
      <c r="BH1"/>
      <c r="BI1"/>
      <c r="BJ1"/>
    </row>
    <row r="2" spans="1:63" ht="21" customHeight="1" thickBot="1">
      <c r="A2" s="86"/>
      <c r="B2" s="395"/>
      <c r="C2" s="395"/>
      <c r="D2" s="395"/>
      <c r="E2" s="395"/>
      <c r="F2" s="395"/>
      <c r="G2" s="396"/>
      <c r="H2" s="396"/>
      <c r="I2" s="581"/>
      <c r="J2" s="396"/>
      <c r="K2" s="85"/>
      <c r="L2" s="396"/>
      <c r="M2" s="396"/>
      <c r="N2" s="396"/>
      <c r="O2" s="508"/>
      <c r="P2" s="509"/>
      <c r="Q2" s="509"/>
      <c r="R2" s="396"/>
      <c r="S2" s="509"/>
      <c r="T2" s="508"/>
      <c r="U2" s="509"/>
      <c r="V2" s="194"/>
      <c r="W2" s="194"/>
      <c r="X2" s="194"/>
      <c r="Y2" s="194"/>
      <c r="Z2" s="194"/>
      <c r="AA2" s="194"/>
      <c r="AB2" s="194"/>
      <c r="AC2" s="194"/>
      <c r="AD2" s="194"/>
      <c r="AE2" s="194"/>
      <c r="AF2" s="194"/>
      <c r="AG2" s="194"/>
      <c r="AH2" s="511"/>
      <c r="AI2" s="509"/>
      <c r="AJ2" s="509"/>
      <c r="AK2" s="84"/>
      <c r="AL2" s="509"/>
      <c r="AM2" s="84"/>
      <c r="AN2" s="84"/>
      <c r="AO2" s="84"/>
      <c r="AP2" s="84"/>
      <c r="AQ2" s="516"/>
      <c r="AR2" s="434"/>
      <c r="AS2" s="434"/>
      <c r="AU2" s="517"/>
      <c r="AV2" s="493"/>
      <c r="AW2" s="517"/>
      <c r="BE2" s="493"/>
      <c r="BF2"/>
      <c r="BG2"/>
      <c r="BH2"/>
      <c r="BI2"/>
      <c r="BJ2"/>
    </row>
    <row r="3" spans="1:63" ht="27" customHeight="1" thickBot="1">
      <c r="A3" s="1289" t="s">
        <v>5</v>
      </c>
      <c r="B3" s="1289"/>
      <c r="C3" s="1290"/>
      <c r="D3" s="1286" t="str">
        <f>IF(基本情報入力シート!M38="","",基本情報入力シート!M38)</f>
        <v/>
      </c>
      <c r="E3" s="1287"/>
      <c r="F3" s="1287"/>
      <c r="G3" s="1287"/>
      <c r="H3" s="1287"/>
      <c r="I3" s="1287"/>
      <c r="J3" s="1288"/>
      <c r="K3" s="85"/>
      <c r="L3" s="405"/>
      <c r="M3" s="413"/>
      <c r="N3" s="413"/>
      <c r="O3" s="518"/>
      <c r="P3" s="519"/>
      <c r="Q3" s="519"/>
      <c r="R3" s="413"/>
      <c r="S3" s="509"/>
      <c r="T3" s="508"/>
      <c r="U3" s="509"/>
      <c r="V3" s="194"/>
      <c r="W3" s="510"/>
      <c r="X3" s="510"/>
      <c r="Y3" s="510"/>
      <c r="Z3" s="510"/>
      <c r="AA3" s="510"/>
      <c r="AB3" s="510"/>
      <c r="AC3" s="510"/>
      <c r="AD3" s="510"/>
      <c r="AE3" s="510"/>
      <c r="AF3" s="510"/>
      <c r="AG3" s="510"/>
      <c r="AH3" s="511"/>
      <c r="AI3" s="509"/>
      <c r="AJ3" s="509"/>
      <c r="AK3" s="84"/>
      <c r="AL3" s="509"/>
      <c r="AM3" s="84"/>
      <c r="AN3" s="84"/>
      <c r="AO3" s="84"/>
      <c r="AP3" s="84"/>
      <c r="AQ3" s="516"/>
      <c r="AR3" s="434"/>
      <c r="AS3" s="434"/>
      <c r="BE3" s="493"/>
      <c r="BF3"/>
      <c r="BG3"/>
      <c r="BH3"/>
      <c r="BI3"/>
      <c r="BJ3"/>
    </row>
    <row r="4" spans="1:63" ht="21" customHeight="1" thickBot="1">
      <c r="A4" s="406"/>
      <c r="B4" s="407"/>
      <c r="C4" s="407"/>
      <c r="D4" s="408"/>
      <c r="E4" s="408"/>
      <c r="F4" s="408"/>
      <c r="G4" s="409"/>
      <c r="H4" s="409"/>
      <c r="I4" s="409"/>
      <c r="J4" s="409"/>
      <c r="K4" s="409"/>
      <c r="L4" s="405"/>
      <c r="M4" s="413"/>
      <c r="N4" s="413"/>
      <c r="O4" s="518"/>
      <c r="P4" s="519"/>
      <c r="Q4" s="519"/>
      <c r="R4" s="413"/>
      <c r="S4" s="509"/>
      <c r="T4" s="508"/>
      <c r="U4" s="509"/>
      <c r="V4" s="194"/>
      <c r="W4" s="510"/>
      <c r="X4" s="510"/>
      <c r="Y4" s="510"/>
      <c r="Z4" s="510"/>
      <c r="AA4" s="510"/>
      <c r="AB4" s="510"/>
      <c r="AC4" s="510"/>
      <c r="AD4" s="510"/>
      <c r="AE4" s="510"/>
      <c r="AF4" s="510"/>
      <c r="AG4" s="510"/>
      <c r="AH4" s="511"/>
      <c r="AI4" s="509"/>
      <c r="AJ4" s="509"/>
      <c r="AK4" s="84"/>
      <c r="AL4" s="509"/>
      <c r="AM4" s="84"/>
      <c r="AN4" s="84"/>
      <c r="AO4" s="84"/>
      <c r="AP4" s="84"/>
      <c r="AQ4" s="516"/>
      <c r="AR4" s="434"/>
      <c r="AS4" s="434"/>
      <c r="BE4" s="493"/>
      <c r="BF4"/>
      <c r="BG4"/>
      <c r="BH4"/>
      <c r="BI4"/>
      <c r="BJ4"/>
    </row>
    <row r="5" spans="1:63" ht="35.25" customHeight="1">
      <c r="A5" s="1461" t="s">
        <v>2219</v>
      </c>
      <c r="B5" s="1296"/>
      <c r="C5" s="1296"/>
      <c r="D5" s="1296"/>
      <c r="E5" s="1296"/>
      <c r="F5" s="1296"/>
      <c r="G5" s="1296"/>
      <c r="H5" s="1296"/>
      <c r="I5" s="1296"/>
      <c r="J5" s="1296"/>
      <c r="K5" s="1297"/>
      <c r="L5" s="520">
        <f>IFERROR(SUMIF(S:S, "令和６年度の算定予定", AH:AH),"")</f>
        <v>0</v>
      </c>
      <c r="M5" s="411" t="s">
        <v>1</v>
      </c>
      <c r="N5" s="413"/>
      <c r="O5" s="518"/>
      <c r="P5" s="519"/>
      <c r="Q5" s="519"/>
      <c r="R5" s="413"/>
      <c r="S5" s="509"/>
      <c r="T5" s="508"/>
      <c r="U5" s="509"/>
      <c r="V5" s="194"/>
      <c r="W5" s="510"/>
      <c r="X5" s="510"/>
      <c r="Y5" s="510"/>
      <c r="Z5" s="510"/>
      <c r="AA5" s="510"/>
      <c r="AB5" s="510"/>
      <c r="AC5" s="510"/>
      <c r="AD5" s="510"/>
      <c r="AE5" s="510"/>
      <c r="AF5" s="510"/>
      <c r="AG5" s="510"/>
      <c r="AH5" s="511"/>
      <c r="AI5" s="509"/>
      <c r="AJ5" s="509"/>
      <c r="AK5" s="84"/>
      <c r="AL5" s="509"/>
      <c r="AM5" s="84"/>
      <c r="AN5" s="521"/>
      <c r="AO5" s="418"/>
      <c r="AP5" s="418"/>
      <c r="AQ5" s="522"/>
      <c r="AR5" s="418"/>
      <c r="AS5" s="421"/>
      <c r="AT5" s="523"/>
      <c r="BE5" s="493"/>
      <c r="BF5"/>
      <c r="BG5"/>
      <c r="BH5"/>
      <c r="BI5"/>
      <c r="BJ5"/>
    </row>
    <row r="6" spans="1:63" ht="35.25" customHeight="1" thickBot="1">
      <c r="A6" s="524"/>
      <c r="B6" s="1462" t="s">
        <v>2220</v>
      </c>
      <c r="C6" s="1296"/>
      <c r="D6" s="1296"/>
      <c r="E6" s="1296"/>
      <c r="F6" s="1296"/>
      <c r="G6" s="1296"/>
      <c r="H6" s="1296"/>
      <c r="I6" s="1296"/>
      <c r="J6" s="1296"/>
      <c r="K6" s="1297"/>
      <c r="L6" s="525">
        <f>IFERROR(SUMIF(S:S, "令和６年度の算定予定", AJ:AJ),"")</f>
        <v>0</v>
      </c>
      <c r="M6" s="411" t="s">
        <v>1</v>
      </c>
      <c r="N6" s="396"/>
      <c r="O6" s="508"/>
      <c r="P6" s="519"/>
      <c r="Q6" s="519"/>
      <c r="R6" s="413"/>
      <c r="S6" s="509"/>
      <c r="T6" s="508"/>
      <c r="U6" s="509"/>
      <c r="V6" s="194"/>
      <c r="W6" s="510"/>
      <c r="X6" s="510"/>
      <c r="Y6" s="510"/>
      <c r="Z6" s="510"/>
      <c r="AA6" s="510"/>
      <c r="AB6" s="510"/>
      <c r="AC6" s="510"/>
      <c r="AD6" s="510"/>
      <c r="AE6" s="510"/>
      <c r="AF6" s="510"/>
      <c r="AG6" s="510"/>
      <c r="AH6" s="511"/>
      <c r="AI6" s="509"/>
      <c r="AJ6" s="526" t="s">
        <v>2052</v>
      </c>
      <c r="AK6" s="527"/>
      <c r="AL6" s="432"/>
      <c r="AM6" s="527"/>
      <c r="AN6" s="528"/>
      <c r="AO6" s="421"/>
      <c r="AP6" s="421"/>
      <c r="AQ6" s="529"/>
      <c r="AR6" s="421"/>
      <c r="AS6" s="421"/>
      <c r="AT6" s="523"/>
      <c r="AX6" s="530" t="s">
        <v>2044</v>
      </c>
      <c r="AY6" s="1319" t="str">
        <f>IF(OR(AY7="旧処遇加算Ⅰ相当あり",AY8="旧処遇加算Ⅰ相当あり"),"旧処遇加算Ⅰ相当あり","旧処遇加算Ⅰ相当なし")</f>
        <v>旧処遇加算Ⅰ相当なし</v>
      </c>
      <c r="AZ6" s="1319"/>
      <c r="BA6" s="1319"/>
      <c r="BB6" s="1319" t="str">
        <f>IF(OR(BB7="旧処遇加算Ⅰ・Ⅱ相当あり",BB8="旧処遇加算Ⅰ・Ⅱ相当あり"),"旧処遇加算Ⅰ・Ⅱ相当あり","旧処遇加算Ⅰ・Ⅱ相当なし")</f>
        <v>旧処遇加算Ⅰ・Ⅱ相当なし</v>
      </c>
      <c r="BC6" s="1319"/>
      <c r="BD6" s="1319"/>
      <c r="BE6" s="1319" t="str">
        <f>IF(OR(BE7="旧特定加算相当あり",BE8="旧特定加算相当あり"),"旧特定加算相当あり","旧特定加算相当なし")</f>
        <v>旧特定加算相当なし</v>
      </c>
      <c r="BF6" s="1319"/>
      <c r="BG6" s="1319"/>
      <c r="BH6" s="1319" t="str">
        <f>IF(OR(BH7="旧特定加算Ⅰ相当あり",BH8="旧特定加算Ⅰ相当あり"),"旧特定加算Ⅰ相当あり","旧特定加算Ⅰ相当なし")</f>
        <v>旧特定加算Ⅰ相当なし</v>
      </c>
      <c r="BI6" s="1319"/>
      <c r="BJ6" s="1319"/>
    </row>
    <row r="7" spans="1:63" ht="35.25" customHeight="1">
      <c r="A7" s="524"/>
      <c r="B7" s="1462" t="s">
        <v>2175</v>
      </c>
      <c r="C7" s="1296"/>
      <c r="D7" s="1296"/>
      <c r="E7" s="1296"/>
      <c r="F7" s="1296"/>
      <c r="G7" s="1296"/>
      <c r="H7" s="1296"/>
      <c r="I7" s="1296"/>
      <c r="J7" s="1296"/>
      <c r="K7" s="1297"/>
      <c r="L7" s="525">
        <f>IFERROR(SUMIF(S:S, "令和６年度の算定予定", AL:AL),"")</f>
        <v>0</v>
      </c>
      <c r="M7" s="411" t="s">
        <v>1</v>
      </c>
      <c r="N7" s="396"/>
      <c r="O7" s="508"/>
      <c r="P7" s="519"/>
      <c r="Q7" s="519"/>
      <c r="R7" s="413"/>
      <c r="S7" s="509"/>
      <c r="T7" s="508"/>
      <c r="U7" s="509"/>
      <c r="V7" s="194"/>
      <c r="W7" s="510"/>
      <c r="X7" s="510"/>
      <c r="Y7" s="510"/>
      <c r="Z7" s="510"/>
      <c r="AA7" s="510"/>
      <c r="AB7" s="510"/>
      <c r="AC7" s="510"/>
      <c r="AD7" s="510"/>
      <c r="AE7" s="510"/>
      <c r="AF7" s="510"/>
      <c r="AG7" s="510"/>
      <c r="AH7" s="511"/>
      <c r="AI7" s="509"/>
      <c r="AJ7" s="1320" t="s">
        <v>1969</v>
      </c>
      <c r="AK7" s="1321"/>
      <c r="AL7" s="1321"/>
      <c r="AM7" s="1321"/>
      <c r="AN7" s="1321"/>
      <c r="AO7" s="1321"/>
      <c r="AP7" s="1322"/>
      <c r="AQ7" s="531">
        <f>SUMIF(S:S,"令和６年度の算定予定",AQ:AQ)</f>
        <v>0</v>
      </c>
      <c r="AR7" s="434"/>
      <c r="AS7" s="434"/>
      <c r="AX7" s="530" t="s">
        <v>2043</v>
      </c>
      <c r="AY7" s="1319"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19"/>
      <c r="BA7" s="1319"/>
      <c r="BB7" s="1319"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19"/>
      <c r="BD7" s="1319"/>
      <c r="BE7" s="1319"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19"/>
      <c r="BG7" s="1319"/>
      <c r="BH7" s="1319"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19"/>
      <c r="BJ7" s="1319"/>
    </row>
    <row r="8" spans="1:63" ht="35.25" customHeight="1" thickBot="1">
      <c r="A8" s="532"/>
      <c r="B8" s="1462" t="s">
        <v>2176</v>
      </c>
      <c r="C8" s="1296"/>
      <c r="D8" s="1296"/>
      <c r="E8" s="1296"/>
      <c r="F8" s="1296"/>
      <c r="G8" s="1296"/>
      <c r="H8" s="1296"/>
      <c r="I8" s="1296"/>
      <c r="J8" s="1296"/>
      <c r="K8" s="1297"/>
      <c r="L8" s="533">
        <f>IFERROR(SUMIF(S:S, "令和６年度の算定予定", AI:AI),"")</f>
        <v>0</v>
      </c>
      <c r="M8" s="411" t="s">
        <v>1</v>
      </c>
      <c r="N8" s="396"/>
      <c r="O8" s="508"/>
      <c r="P8" s="526"/>
      <c r="Q8" s="432"/>
      <c r="R8" s="432"/>
      <c r="S8" s="534"/>
      <c r="T8" s="535"/>
      <c r="U8" s="509"/>
      <c r="V8" s="194"/>
      <c r="W8" s="194"/>
      <c r="X8" s="194"/>
      <c r="Y8" s="510"/>
      <c r="Z8" s="194"/>
      <c r="AA8" s="194"/>
      <c r="AB8" s="194"/>
      <c r="AC8" s="194"/>
      <c r="AD8" s="194"/>
      <c r="AE8" s="194"/>
      <c r="AF8" s="194"/>
      <c r="AG8" s="194"/>
      <c r="AH8" s="536"/>
      <c r="AI8" s="509"/>
      <c r="AJ8" s="1320" t="s">
        <v>2225</v>
      </c>
      <c r="AK8" s="1321"/>
      <c r="AL8" s="1321"/>
      <c r="AM8" s="1321"/>
      <c r="AN8" s="1321"/>
      <c r="AO8" s="1321"/>
      <c r="AP8" s="1322"/>
      <c r="AQ8" s="537">
        <f>SUM(BI:BI)</f>
        <v>0</v>
      </c>
      <c r="AR8" s="434"/>
      <c r="AS8" s="434"/>
      <c r="AX8" s="530" t="s">
        <v>2155</v>
      </c>
      <c r="AY8" s="1319" t="str">
        <f>'別紙様式2-4（年度内の区分変更がある場合に記入）'!AU7</f>
        <v>旧処遇加算Ⅰ相当なし</v>
      </c>
      <c r="AZ8" s="1319"/>
      <c r="BA8" s="1319"/>
      <c r="BB8" s="1319" t="str">
        <f>'別紙様式2-4（年度内の区分変更がある場合に記入）'!AW7</f>
        <v>旧処遇加算Ⅰ・Ⅱ相当なし</v>
      </c>
      <c r="BC8" s="1319"/>
      <c r="BD8" s="1319"/>
      <c r="BE8" s="1319" t="str">
        <f>'別紙様式2-4（年度内の区分変更がある場合に記入）'!AY7</f>
        <v>旧特定加算相当なし</v>
      </c>
      <c r="BF8" s="1319"/>
      <c r="BG8" s="1319"/>
      <c r="BH8" s="1319" t="str">
        <f>'別紙様式2-4（年度内の区分変更がある場合に記入）'!BB7</f>
        <v>旧特定加算Ⅰ相当なし</v>
      </c>
      <c r="BI8" s="1319"/>
      <c r="BJ8" s="1319"/>
    </row>
    <row r="9" spans="1:63" ht="35.25" customHeight="1" thickBot="1">
      <c r="A9" s="1463" t="s">
        <v>2067</v>
      </c>
      <c r="B9" s="1464"/>
      <c r="C9" s="1464"/>
      <c r="D9" s="1464"/>
      <c r="E9" s="1464"/>
      <c r="F9" s="1464"/>
      <c r="G9" s="1464"/>
      <c r="H9" s="1464"/>
      <c r="I9" s="1464"/>
      <c r="J9" s="1464"/>
      <c r="K9" s="1465"/>
      <c r="L9" s="538">
        <f>IFERROR(SUMIF(S:S, "（参考）令和７年度の移行予定", AI:AI),"")</f>
        <v>0</v>
      </c>
      <c r="M9" s="411" t="s">
        <v>1</v>
      </c>
      <c r="N9" s="396"/>
      <c r="O9" s="508"/>
      <c r="P9" s="526"/>
      <c r="Q9" s="432"/>
      <c r="R9" s="432"/>
      <c r="S9" s="534"/>
      <c r="T9" s="535"/>
      <c r="U9" s="509"/>
      <c r="V9" s="194"/>
      <c r="W9" s="194"/>
      <c r="X9" s="194"/>
      <c r="Y9" s="510"/>
      <c r="Z9" s="194"/>
      <c r="AA9" s="194"/>
      <c r="AB9" s="194"/>
      <c r="AC9" s="194"/>
      <c r="AD9" s="194"/>
      <c r="AE9" s="194"/>
      <c r="AF9" s="194"/>
      <c r="AG9" s="194"/>
      <c r="AH9" s="536"/>
      <c r="AI9" s="509"/>
      <c r="AJ9" s="432"/>
      <c r="AK9" s="428"/>
      <c r="AL9" s="432"/>
      <c r="AN9" s="428"/>
      <c r="AO9" s="428"/>
      <c r="AP9" s="428"/>
      <c r="AQ9" s="539"/>
      <c r="AR9" s="434"/>
      <c r="AS9" s="434"/>
      <c r="AX9" s="540"/>
      <c r="AY9" s="430"/>
      <c r="AZ9" s="430"/>
      <c r="BA9" s="430"/>
      <c r="BB9" s="430"/>
      <c r="BC9" s="430"/>
      <c r="BD9" s="430"/>
      <c r="BE9" s="430"/>
      <c r="BF9" s="430"/>
      <c r="BG9" s="430"/>
      <c r="BH9" s="430"/>
      <c r="BI9" s="430"/>
      <c r="BJ9" s="430"/>
    </row>
    <row r="10" spans="1:63" ht="35.25" customHeight="1" thickBot="1">
      <c r="A10" s="1264" t="s">
        <v>2178</v>
      </c>
      <c r="B10" s="1264"/>
      <c r="C10" s="1264"/>
      <c r="D10" s="1264"/>
      <c r="E10" s="1264"/>
      <c r="F10" s="1264"/>
      <c r="G10" s="1264"/>
      <c r="H10" s="1264"/>
      <c r="I10" s="1264"/>
      <c r="J10" s="1264"/>
      <c r="K10" s="1264"/>
      <c r="L10" s="1264"/>
      <c r="M10" s="396"/>
      <c r="N10" s="396"/>
      <c r="O10" s="508"/>
      <c r="P10" s="526"/>
      <c r="Q10" s="432"/>
      <c r="R10" s="432"/>
      <c r="S10" s="534"/>
      <c r="T10" s="535"/>
      <c r="U10" s="509"/>
      <c r="V10" s="194"/>
      <c r="W10" s="194"/>
      <c r="X10" s="194"/>
      <c r="Y10" s="510"/>
      <c r="Z10" s="194"/>
      <c r="AA10" s="194"/>
      <c r="AB10" s="194"/>
      <c r="AC10" s="194"/>
      <c r="AD10" s="194"/>
      <c r="AE10" s="194"/>
      <c r="AF10" s="194"/>
      <c r="AG10" s="194"/>
      <c r="AH10" s="536"/>
      <c r="AI10" s="509"/>
      <c r="AJ10" s="509"/>
      <c r="AK10" s="84"/>
      <c r="AL10" s="509"/>
      <c r="AM10" s="428"/>
      <c r="AN10" s="428"/>
      <c r="AO10" s="428"/>
      <c r="AP10" s="428"/>
      <c r="AQ10" s="432"/>
      <c r="AR10" s="428"/>
      <c r="AS10" s="434"/>
      <c r="AU10"/>
      <c r="AV10"/>
      <c r="AW10"/>
      <c r="AX10"/>
      <c r="AY10"/>
      <c r="AZ10"/>
      <c r="BA10"/>
      <c r="BB10"/>
      <c r="BC10"/>
      <c r="BD10"/>
      <c r="BE10"/>
      <c r="BJ10" s="340"/>
    </row>
    <row r="11" spans="1:63" ht="32.25" customHeight="1" thickBot="1">
      <c r="A11" s="1265"/>
      <c r="B11" s="1265"/>
      <c r="C11" s="1265"/>
      <c r="D11" s="1265"/>
      <c r="E11" s="1265"/>
      <c r="F11" s="1265"/>
      <c r="G11" s="1265"/>
      <c r="H11" s="1265"/>
      <c r="I11" s="1265"/>
      <c r="J11" s="1265"/>
      <c r="K11" s="1265"/>
      <c r="L11" s="1265"/>
      <c r="M11" s="396"/>
      <c r="N11" s="396"/>
      <c r="O11" s="508"/>
      <c r="P11" s="509"/>
      <c r="Q11" s="509"/>
      <c r="R11" s="396"/>
      <c r="S11" s="509"/>
      <c r="T11" s="508"/>
      <c r="U11" s="509"/>
      <c r="V11" s="194"/>
      <c r="W11" s="510"/>
      <c r="X11" s="510"/>
      <c r="Y11" s="510"/>
      <c r="Z11" s="510"/>
      <c r="AA11" s="510"/>
      <c r="AB11" s="510"/>
      <c r="AC11" s="510"/>
      <c r="AD11" s="510"/>
      <c r="AE11" s="510"/>
      <c r="AF11" s="510"/>
      <c r="AG11" s="510"/>
      <c r="AH11" s="541"/>
      <c r="AI11" s="509"/>
      <c r="AJ11" s="541"/>
      <c r="AK11" s="401"/>
      <c r="AL11" s="1328" t="str">
        <f>IFERROR(IF(COUNTIF(BE:BE,"未入力")=0,"○","未入力あり"),"")</f>
        <v>○</v>
      </c>
      <c r="AM11" s="1329"/>
      <c r="AN11" s="542" t="str">
        <f>IFERROR(IF(COUNTIF(BF:BF,"未入力")=0,"○","未入力あり"),"")</f>
        <v>○</v>
      </c>
      <c r="AO11" s="542" t="str">
        <f>IFERROR(IF(COUNTIF(BG:BG,"未入力")=0,"○","未入力あり"),"")</f>
        <v>○</v>
      </c>
      <c r="AP11" s="542" t="str">
        <f>IFERROR(IF(COUNTIF(BH:BH,"未入力")=0,"○","未入力あり"),"")</f>
        <v>○</v>
      </c>
      <c r="AQ11" s="543" t="str">
        <f>IF(BE7="旧特定加算相当なし","",IF(AQ7&gt;=AQ8,"○","×"))</f>
        <v/>
      </c>
      <c r="AR11" s="544" t="str">
        <f>IF(BH7="旧特定加算Ⅰ相当なし","",IF(COUNTIF(BJ:BJ,"未入力")=0,"○","未入力あり"))</f>
        <v/>
      </c>
      <c r="AS11" s="545" t="s">
        <v>2051</v>
      </c>
      <c r="AU11"/>
      <c r="AV11"/>
      <c r="AW11"/>
      <c r="AX11"/>
      <c r="AY11"/>
      <c r="AZ11"/>
      <c r="BA11"/>
      <c r="BB11"/>
      <c r="BC11"/>
    </row>
    <row r="12" spans="1:63" ht="53.25" customHeight="1">
      <c r="A12" s="1428"/>
      <c r="B12" s="1254" t="s">
        <v>2214</v>
      </c>
      <c r="C12" s="1255"/>
      <c r="D12" s="1255"/>
      <c r="E12" s="1255"/>
      <c r="F12" s="1256"/>
      <c r="G12" s="1260" t="s">
        <v>55</v>
      </c>
      <c r="H12" s="1282" t="s">
        <v>79</v>
      </c>
      <c r="I12" s="1282"/>
      <c r="J12" s="1262" t="s">
        <v>60</v>
      </c>
      <c r="K12" s="1278" t="s">
        <v>35</v>
      </c>
      <c r="L12" s="1280" t="s">
        <v>2221</v>
      </c>
      <c r="M12" s="1223" t="s">
        <v>2110</v>
      </c>
      <c r="N12" s="1224" t="s">
        <v>2017</v>
      </c>
      <c r="O12" s="1444" t="s">
        <v>2153</v>
      </c>
      <c r="P12" s="1445"/>
      <c r="Q12" s="1446"/>
      <c r="R12" s="1455" t="s">
        <v>1970</v>
      </c>
      <c r="S12" s="1467" t="s">
        <v>2018</v>
      </c>
      <c r="T12" s="1468"/>
      <c r="U12" s="1224" t="s">
        <v>2216</v>
      </c>
      <c r="V12" s="1430" t="s">
        <v>2222</v>
      </c>
      <c r="W12" s="1439"/>
      <c r="X12" s="1439"/>
      <c r="Y12" s="1439"/>
      <c r="Z12" s="1439"/>
      <c r="AA12" s="1439"/>
      <c r="AB12" s="1439"/>
      <c r="AC12" s="1439"/>
      <c r="AD12" s="1439"/>
      <c r="AE12" s="1439"/>
      <c r="AF12" s="1439"/>
      <c r="AG12" s="1440"/>
      <c r="AH12" s="1430" t="s">
        <v>2223</v>
      </c>
      <c r="AI12" s="1457" t="s">
        <v>2150</v>
      </c>
      <c r="AJ12" s="1436" t="s">
        <v>2040</v>
      </c>
      <c r="AK12" s="1437"/>
      <c r="AL12" s="1330" t="s">
        <v>2023</v>
      </c>
      <c r="AM12" s="1229"/>
      <c r="AN12" s="1228" t="s">
        <v>170</v>
      </c>
      <c r="AO12" s="1229"/>
      <c r="AP12" s="440" t="s">
        <v>164</v>
      </c>
      <c r="AQ12" s="440" t="s">
        <v>168</v>
      </c>
      <c r="AR12" s="441" t="s">
        <v>169</v>
      </c>
      <c r="AS12" s="1471" t="s">
        <v>2147</v>
      </c>
      <c r="AT12" s="451"/>
      <c r="AU12" s="1466" t="s">
        <v>2146</v>
      </c>
      <c r="AV12" s="1466"/>
      <c r="BK12" s="1300" t="s">
        <v>2170</v>
      </c>
    </row>
    <row r="13" spans="1:63" ht="159.75" customHeight="1" thickBot="1">
      <c r="A13" s="1429"/>
      <c r="B13" s="1257"/>
      <c r="C13" s="1258"/>
      <c r="D13" s="1258"/>
      <c r="E13" s="1258"/>
      <c r="F13" s="1259"/>
      <c r="G13" s="1261"/>
      <c r="H13" s="442" t="s">
        <v>2148</v>
      </c>
      <c r="I13" s="442" t="s">
        <v>2149</v>
      </c>
      <c r="J13" s="1263"/>
      <c r="K13" s="1279"/>
      <c r="L13" s="1281"/>
      <c r="M13" s="1450"/>
      <c r="N13" s="1438"/>
      <c r="O13" s="1447"/>
      <c r="P13" s="1448"/>
      <c r="Q13" s="1449"/>
      <c r="R13" s="1456"/>
      <c r="S13" s="1469"/>
      <c r="T13" s="1470"/>
      <c r="U13" s="1438"/>
      <c r="V13" s="1441"/>
      <c r="W13" s="1442"/>
      <c r="X13" s="1442"/>
      <c r="Y13" s="1442"/>
      <c r="Z13" s="1442"/>
      <c r="AA13" s="1442"/>
      <c r="AB13" s="1442"/>
      <c r="AC13" s="1442"/>
      <c r="AD13" s="1442"/>
      <c r="AE13" s="1442"/>
      <c r="AF13" s="1442"/>
      <c r="AG13" s="1443"/>
      <c r="AH13" s="1431"/>
      <c r="AI13" s="1458"/>
      <c r="AJ13" s="546" t="s">
        <v>2167</v>
      </c>
      <c r="AK13" s="447" t="s">
        <v>2037</v>
      </c>
      <c r="AL13" s="447" t="s">
        <v>2022</v>
      </c>
      <c r="AM13" s="448" t="s">
        <v>2038</v>
      </c>
      <c r="AN13" s="448" t="s">
        <v>2151</v>
      </c>
      <c r="AO13" s="447" t="s">
        <v>2152</v>
      </c>
      <c r="AP13" s="449" t="s">
        <v>163</v>
      </c>
      <c r="AQ13" s="449" t="s">
        <v>2156</v>
      </c>
      <c r="AR13" s="586" t="s">
        <v>2224</v>
      </c>
      <c r="AS13" s="1299"/>
      <c r="AT13" s="547"/>
      <c r="AU13" s="452" t="s">
        <v>2033</v>
      </c>
      <c r="AV13" s="548" t="s">
        <v>2060</v>
      </c>
      <c r="AW13" s="549" t="s">
        <v>2061</v>
      </c>
      <c r="AX13" s="452" t="s">
        <v>2027</v>
      </c>
      <c r="AY13" s="1303" t="s">
        <v>2042</v>
      </c>
      <c r="AZ13" s="1303"/>
      <c r="BA13" s="1303"/>
      <c r="BB13" s="1303"/>
      <c r="BC13" s="1303"/>
      <c r="BD13" s="1303"/>
      <c r="BE13" s="452" t="s">
        <v>2041</v>
      </c>
      <c r="BF13" s="452" t="s">
        <v>2028</v>
      </c>
      <c r="BG13" s="452" t="s">
        <v>2029</v>
      </c>
      <c r="BH13" s="452" t="s">
        <v>2030</v>
      </c>
      <c r="BI13" s="455" t="s">
        <v>2031</v>
      </c>
      <c r="BJ13" s="455" t="s">
        <v>2032</v>
      </c>
      <c r="BK13" s="1460"/>
    </row>
    <row r="14" spans="1:63" ht="30" customHeight="1">
      <c r="A14" s="1266">
        <v>1</v>
      </c>
      <c r="B14" s="1232" t="str">
        <f>IF(基本情報入力シート!C54="","",基本情報入力シート!C54)</f>
        <v/>
      </c>
      <c r="C14" s="1233"/>
      <c r="D14" s="1233"/>
      <c r="E14" s="1233"/>
      <c r="F14" s="1234"/>
      <c r="G14" s="1251" t="str">
        <f>IF(基本情報入力シート!M54="","",基本情報入力シート!M54)</f>
        <v/>
      </c>
      <c r="H14" s="1251" t="str">
        <f>IF(基本情報入力シート!R54="","",基本情報入力シート!R54)</f>
        <v/>
      </c>
      <c r="I14" s="1251" t="str">
        <f>IF(基本情報入力シート!W54="","",基本情報入力シート!W54)</f>
        <v/>
      </c>
      <c r="J14" s="1414" t="str">
        <f>IF(基本情報入力シート!X54="","",基本情報入力シート!X54)</f>
        <v/>
      </c>
      <c r="K14" s="1251" t="str">
        <f>IF(基本情報入力シート!Y54="","",基本情報入力シート!Y54)</f>
        <v/>
      </c>
      <c r="L14" s="1427" t="str">
        <f>IF(基本情報入力シート!AB54="","",基本情報入力シート!AB54)</f>
        <v/>
      </c>
      <c r="M14" s="550" t="str">
        <f>IF('別紙様式2-2（４・５月分）'!P14="","",'別紙様式2-2（４・５月分）'!P14)</f>
        <v/>
      </c>
      <c r="N14" s="1451" t="str">
        <f>IF(SUM('別紙様式2-2（４・５月分）'!Q14:Q16)=0,"",SUM('別紙様式2-2（４・５月分）'!Q14:Q16))</f>
        <v/>
      </c>
      <c r="O14" s="1395" t="str">
        <f>IFERROR(VLOOKUP('別紙様式2-2（４・５月分）'!AQ14,【参考】数式用!$AR$5:$AS$22,2,FALSE),"")</f>
        <v/>
      </c>
      <c r="P14" s="1396"/>
      <c r="Q14" s="1397"/>
      <c r="R14" s="1401" t="str">
        <f>IFERROR(VLOOKUP(K14,【参考】数式用!$A$5:$AB$37,MATCH(O14,【参考】数式用!$B$4:$AB$4,0)+1,0),"")</f>
        <v/>
      </c>
      <c r="S14" s="1403" t="s">
        <v>2021</v>
      </c>
      <c r="T14" s="1405"/>
      <c r="U14" s="1407" t="str">
        <f>IFERROR(VLOOKUP(K14,【参考】数式用!$A$5:$AB$37,MATCH(T14,【参考】数式用!$B$4:$AB$4,0)+1,0),"")</f>
        <v/>
      </c>
      <c r="V14" s="1409" t="s">
        <v>15</v>
      </c>
      <c r="W14" s="1347">
        <v>6</v>
      </c>
      <c r="X14" s="1349" t="s">
        <v>10</v>
      </c>
      <c r="Y14" s="1347">
        <v>6</v>
      </c>
      <c r="Z14" s="1349" t="s">
        <v>38</v>
      </c>
      <c r="AA14" s="1347">
        <v>7</v>
      </c>
      <c r="AB14" s="1349" t="s">
        <v>10</v>
      </c>
      <c r="AC14" s="1347">
        <v>3</v>
      </c>
      <c r="AD14" s="1349" t="s">
        <v>13</v>
      </c>
      <c r="AE14" s="1349" t="s">
        <v>20</v>
      </c>
      <c r="AF14" s="1349">
        <f>IF(W14&gt;=1,(AA14*12+AC14)-(W14*12+Y14)+1,"")</f>
        <v>10</v>
      </c>
      <c r="AG14" s="1351" t="s">
        <v>33</v>
      </c>
      <c r="AH14" s="1353" t="str">
        <f>IFERROR(ROUNDDOWN(ROUND(L14*U14,0),0)*AF14,"")</f>
        <v/>
      </c>
      <c r="AI14" s="1355" t="str">
        <f>IFERROR(ROUNDDOWN(ROUND((L14*(U14-AW14)),0),0)*AF14,"")</f>
        <v/>
      </c>
      <c r="AJ14" s="1357">
        <f>IFERROR(IF(OR(M14="",M15="",M17=""),0,ROUNDDOWN(ROUNDDOWN(ROUND(L14*VLOOKUP(K14,【参考】数式用!$A$5:$AB$37,MATCH("新加算Ⅳ",【参考】数式用!$B$4:$AB$4,0)+1,0),0),0)*AF14*0.5,0)),"")</f>
        <v>0</v>
      </c>
      <c r="AK14" s="1341"/>
      <c r="AL14" s="1345">
        <f>IFERROR(IF(OR(M17="ベア加算",M17=""),0, IF(OR(T14="新加算Ⅰ",T14="新加算Ⅱ",T14="新加算Ⅲ",T14="新加算Ⅳ"),ROUNDDOWN(ROUND(L14*VLOOKUP(K14,【参考】数式用!$A$5:$I$37,MATCH("ベア加算",【参考】数式用!$B$4:$I$4,0)+1,0),0),0)*AF14,0)),"")</f>
        <v>0</v>
      </c>
      <c r="AM14" s="1331"/>
      <c r="AN14" s="1337"/>
      <c r="AO14" s="1333"/>
      <c r="AP14" s="1333"/>
      <c r="AQ14" s="1335"/>
      <c r="AR14" s="1315"/>
      <c r="AS14" s="465" t="str">
        <f>IF(AU14="","",IF(U14&lt;N14,"！加算の要件上は問題ありませんが、令和６年４・５月と比較して令和６年６月に加算率が下がる計画になっています。",""))</f>
        <v/>
      </c>
      <c r="AT14" s="551"/>
      <c r="AU14" s="1303" t="str">
        <f>IF(K14&lt;&gt;"","V列に色付け","")</f>
        <v/>
      </c>
      <c r="AV14" s="552" t="str">
        <f>IF('別紙様式2-2（４・５月分）'!N14="","",'別紙様式2-2（４・５月分）'!N14)</f>
        <v/>
      </c>
      <c r="AW14" s="1305" t="str">
        <f>IF(SUM('別紙様式2-2（４・５月分）'!O14:O16)=0,"",SUM('別紙様式2-2（４・５月分）'!O14:O16))</f>
        <v/>
      </c>
      <c r="AX14" s="1306" t="str">
        <f>IFERROR(VLOOKUP(K14,【参考】数式用!$AH$2:$AI$34,2,FALSE),"")</f>
        <v/>
      </c>
      <c r="AY14" s="1222" t="s">
        <v>1959</v>
      </c>
      <c r="AZ14" s="1222" t="s">
        <v>1960</v>
      </c>
      <c r="BA14" s="1222" t="s">
        <v>1961</v>
      </c>
      <c r="BB14" s="1222" t="s">
        <v>1962</v>
      </c>
      <c r="BC14" s="1222" t="str">
        <f>IF(AND(O14&lt;&gt;"新加算Ⅰ",O14&lt;&gt;"新加算Ⅱ",O14&lt;&gt;"新加算Ⅲ",O14&lt;&gt;"新加算Ⅳ"),O14,IF(P16&lt;&gt;"",P16,""))</f>
        <v/>
      </c>
      <c r="BD14" s="1222"/>
      <c r="BE14" s="1222" t="str">
        <f>IF(AL14&lt;&gt;0,IF(AM14="○","入力済","未入力"),"")</f>
        <v/>
      </c>
      <c r="BF14" s="1222"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2" t="str">
        <f>IF(OR(T14="新加算Ⅴ（７）",T14="新加算Ⅴ（９）",T14="新加算Ⅴ（10）",T14="新加算Ⅴ（12）",T14="新加算Ⅴ（13）",T14="新加算Ⅴ（14）"),IF(OR(AO14="○",AO14="令和６年度中に満たす"),"入力済","未入力"),"")</f>
        <v/>
      </c>
      <c r="BH14" s="1323" t="str">
        <f>IF(OR(T14="新加算Ⅰ",T14="新加算Ⅱ",T14="新加算Ⅲ",T14="新加算Ⅴ（１）",T14="新加算Ⅴ（３）",T14="新加算Ⅴ（８）"),IF(OR(AP14="○",AP14="令和６年度中に満たす"),"入力済","未入力"),"")</f>
        <v/>
      </c>
      <c r="BI14" s="1327" t="str">
        <f>IF(OR(T14="新加算Ⅰ",T14="新加算Ⅱ",T14="新加算Ⅴ（１）",T14="新加算Ⅴ（２）",T14="新加算Ⅴ（３）",T14="新加算Ⅴ（４）",T14="新加算Ⅴ（５）",T14="新加算Ⅴ（６）",T14="新加算Ⅴ（７）",T14="新加算Ⅴ（９）",T14="新加算Ⅴ（10）",T14="新加算Ⅴ（12）"),1,"")</f>
        <v/>
      </c>
      <c r="BJ14" s="1303" t="str">
        <f>IF(OR(T14="新加算Ⅰ",T14="新加算Ⅴ（１）",T14="新加算Ⅴ（２）",T14="新加算Ⅴ（５）",T14="新加算Ⅴ（７）",T14="新加算Ⅴ（10）"),IF(AR14="","未入力","入力済"),"")</f>
        <v/>
      </c>
      <c r="BK14" s="452" t="str">
        <f>G14</f>
        <v/>
      </c>
    </row>
    <row r="15" spans="1:63" ht="15" customHeight="1">
      <c r="A15" s="1267"/>
      <c r="B15" s="1235"/>
      <c r="C15" s="1236"/>
      <c r="D15" s="1236"/>
      <c r="E15" s="1236"/>
      <c r="F15" s="1237"/>
      <c r="G15" s="1252"/>
      <c r="H15" s="1252"/>
      <c r="I15" s="1252"/>
      <c r="J15" s="1415"/>
      <c r="K15" s="1252"/>
      <c r="L15" s="1421"/>
      <c r="M15" s="1371" t="str">
        <f>IF('別紙様式2-2（４・５月分）'!P15="","",'別紙様式2-2（４・５月分）'!P15)</f>
        <v/>
      </c>
      <c r="N15" s="1452"/>
      <c r="O15" s="1398"/>
      <c r="P15" s="1399"/>
      <c r="Q15" s="1400"/>
      <c r="R15" s="1402"/>
      <c r="S15" s="1404"/>
      <c r="T15" s="1406"/>
      <c r="U15" s="1408"/>
      <c r="V15" s="1410"/>
      <c r="W15" s="1348"/>
      <c r="X15" s="1350"/>
      <c r="Y15" s="1348"/>
      <c r="Z15" s="1350"/>
      <c r="AA15" s="1348"/>
      <c r="AB15" s="1350"/>
      <c r="AC15" s="1348"/>
      <c r="AD15" s="1350"/>
      <c r="AE15" s="1350"/>
      <c r="AF15" s="1350"/>
      <c r="AG15" s="1352"/>
      <c r="AH15" s="1354"/>
      <c r="AI15" s="1356"/>
      <c r="AJ15" s="1358"/>
      <c r="AK15" s="1342"/>
      <c r="AL15" s="1346"/>
      <c r="AM15" s="1332"/>
      <c r="AN15" s="1338"/>
      <c r="AO15" s="1334"/>
      <c r="AP15" s="1334"/>
      <c r="AQ15" s="1336"/>
      <c r="AR15" s="1316"/>
      <c r="AS15" s="1302"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1"/>
      <c r="AU15" s="1303"/>
      <c r="AV15" s="1312" t="str">
        <f>IF('別紙様式2-2（４・５月分）'!N15="","",'別紙様式2-2（４・５月分）'!N15)</f>
        <v/>
      </c>
      <c r="AW15" s="1305"/>
      <c r="AX15" s="1306"/>
      <c r="AY15" s="1222"/>
      <c r="AZ15" s="1222"/>
      <c r="BA15" s="1222"/>
      <c r="BB15" s="1222"/>
      <c r="BC15" s="1222"/>
      <c r="BD15" s="1222"/>
      <c r="BE15" s="1222"/>
      <c r="BF15" s="1222"/>
      <c r="BG15" s="1222"/>
      <c r="BH15" s="1324"/>
      <c r="BI15" s="1327"/>
      <c r="BJ15" s="1303"/>
      <c r="BK15" s="452" t="str">
        <f>G14</f>
        <v/>
      </c>
    </row>
    <row r="16" spans="1:63" ht="15" customHeight="1">
      <c r="A16" s="1295"/>
      <c r="B16" s="1235"/>
      <c r="C16" s="1236"/>
      <c r="D16" s="1236"/>
      <c r="E16" s="1236"/>
      <c r="F16" s="1237"/>
      <c r="G16" s="1252"/>
      <c r="H16" s="1252"/>
      <c r="I16" s="1252"/>
      <c r="J16" s="1415"/>
      <c r="K16" s="1252"/>
      <c r="L16" s="1421"/>
      <c r="M16" s="1372"/>
      <c r="N16" s="1453"/>
      <c r="O16" s="1432" t="s">
        <v>2025</v>
      </c>
      <c r="P16" s="1375" t="str">
        <f>IFERROR(VLOOKUP('別紙様式2-2（４・５月分）'!AQ14,【参考】数式用!$AR$5:$AT$22,3,FALSE),"")</f>
        <v/>
      </c>
      <c r="Q16" s="1434" t="s">
        <v>2036</v>
      </c>
      <c r="R16" s="1379" t="str">
        <f>IFERROR(VLOOKUP(K14,【参考】数式用!$A$5:$AB$37,MATCH(P16,【参考】数式用!$B$4:$AB$4,0)+1,0),"")</f>
        <v/>
      </c>
      <c r="S16" s="1381" t="s">
        <v>161</v>
      </c>
      <c r="T16" s="1383"/>
      <c r="U16" s="1385" t="str">
        <f>IFERROR(VLOOKUP(K14,【参考】数式用!$A$5:$AB$37,MATCH(T16,【参考】数式用!$B$4:$AB$4,0)+1,0),"")</f>
        <v/>
      </c>
      <c r="V16" s="1387" t="s">
        <v>15</v>
      </c>
      <c r="W16" s="1419">
        <v>7</v>
      </c>
      <c r="X16" s="1363" t="s">
        <v>10</v>
      </c>
      <c r="Y16" s="1419">
        <v>4</v>
      </c>
      <c r="Z16" s="1363" t="s">
        <v>38</v>
      </c>
      <c r="AA16" s="1419">
        <v>8</v>
      </c>
      <c r="AB16" s="1363" t="s">
        <v>10</v>
      </c>
      <c r="AC16" s="1419">
        <v>3</v>
      </c>
      <c r="AD16" s="1363" t="s">
        <v>13</v>
      </c>
      <c r="AE16" s="1363" t="s">
        <v>20</v>
      </c>
      <c r="AF16" s="1363">
        <v>12</v>
      </c>
      <c r="AG16" s="1359" t="s">
        <v>33</v>
      </c>
      <c r="AH16" s="1365" t="str">
        <f>IFERROR(ROUNDDOWN(ROUND(L14*U16,0),0)*AF16,"")</f>
        <v/>
      </c>
      <c r="AI16" s="1367" t="str">
        <f>IFERROR(ROUNDDOWN(ROUND((L14*(U16-AW14)),0),0)*AF16,"")</f>
        <v/>
      </c>
      <c r="AJ16" s="1369">
        <f>IFERROR(IF(OR(M14="",M15="",M17=""),0,ROUNDDOWN(ROUNDDOWN(ROUND(L14*VLOOKUP(K14,【参考】数式用!$A$5:$AB$37,MATCH("新加算Ⅳ",【参考】数式用!$B$4:$AB$4,0)+1,0),0),0)*AF16*0.5,0)),"")</f>
        <v>0</v>
      </c>
      <c r="AK16" s="1339" t="str">
        <f>IF(T16&lt;&gt;"","新規に適用","")</f>
        <v/>
      </c>
      <c r="AL16" s="1343">
        <f>IFERROR(IF(OR(M17="ベア加算",M17=""),0, IF(OR(T14="新加算Ⅰ",T14="新加算Ⅱ",T14="新加算Ⅲ",T14="新加算Ⅳ"),0,ROUNDDOWN(ROUND(L14*VLOOKUP(K14,【参考】数式用!$A$5:$I$37,MATCH("ベア加算",【参考】数式用!$B$4:$I$4,0)+1,0),0),0)*AF16)),"")</f>
        <v>0</v>
      </c>
      <c r="AM16" s="1313" t="str">
        <f>IF(AND(T16&lt;&gt;"",AM14=""),"新規に適用",IF(AND(T16&lt;&gt;"",AM14&lt;&gt;""),"継続で適用",""))</f>
        <v/>
      </c>
      <c r="AN16" s="1313" t="str">
        <f>IF(AND(T16&lt;&gt;"",AN14=""),"新規に適用",IF(AND(T16&lt;&gt;"",AN14&lt;&gt;""),"継続で適用",""))</f>
        <v/>
      </c>
      <c r="AO16" s="1361"/>
      <c r="AP16" s="1313" t="str">
        <f>IF(AND(T16&lt;&gt;"",AP14=""),"新規に適用",IF(AND(T16&lt;&gt;"",AP14&lt;&gt;""),"継続で適用",""))</f>
        <v/>
      </c>
      <c r="AQ16" s="1317"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17" t="str">
        <f>IF(AND(T16&lt;&gt;"",AR14=""),"新規に適用",IF(AND(T16&lt;&gt;"",AR14&lt;&gt;""),"継続で適用",""))</f>
        <v/>
      </c>
      <c r="AS16" s="1302"/>
      <c r="AT16" s="551"/>
      <c r="AU16" s="1303" t="str">
        <f>IF(K14&lt;&gt;"","V列に色付け","")</f>
        <v/>
      </c>
      <c r="AV16" s="1312"/>
      <c r="AW16" s="1305"/>
      <c r="AX16"/>
      <c r="AY16"/>
      <c r="AZ16"/>
      <c r="BA16"/>
      <c r="BB16"/>
      <c r="BC16"/>
      <c r="BD16"/>
      <c r="BE16"/>
      <c r="BF16"/>
      <c r="BG16"/>
      <c r="BH16"/>
      <c r="BI16"/>
      <c r="BJ16"/>
      <c r="BK16" s="452" t="str">
        <f>G14</f>
        <v/>
      </c>
    </row>
    <row r="17" spans="1:63" ht="30" customHeight="1" thickBot="1">
      <c r="A17" s="1268"/>
      <c r="B17" s="1411"/>
      <c r="C17" s="1412"/>
      <c r="D17" s="1412"/>
      <c r="E17" s="1412"/>
      <c r="F17" s="1413"/>
      <c r="G17" s="1253"/>
      <c r="H17" s="1253"/>
      <c r="I17" s="1253"/>
      <c r="J17" s="1416"/>
      <c r="K17" s="1253"/>
      <c r="L17" s="1422"/>
      <c r="M17" s="553" t="str">
        <f>IF('別紙様式2-2（４・５月分）'!P16="","",'別紙様式2-2（４・５月分）'!P16)</f>
        <v/>
      </c>
      <c r="N17" s="1454"/>
      <c r="O17" s="1433"/>
      <c r="P17" s="1376"/>
      <c r="Q17" s="1435"/>
      <c r="R17" s="1380"/>
      <c r="S17" s="1382"/>
      <c r="T17" s="1384"/>
      <c r="U17" s="1386"/>
      <c r="V17" s="1388"/>
      <c r="W17" s="1420"/>
      <c r="X17" s="1364"/>
      <c r="Y17" s="1420"/>
      <c r="Z17" s="1364"/>
      <c r="AA17" s="1420"/>
      <c r="AB17" s="1364"/>
      <c r="AC17" s="1420"/>
      <c r="AD17" s="1364"/>
      <c r="AE17" s="1364"/>
      <c r="AF17" s="1364"/>
      <c r="AG17" s="1360"/>
      <c r="AH17" s="1366"/>
      <c r="AI17" s="1368"/>
      <c r="AJ17" s="1370"/>
      <c r="AK17" s="1340"/>
      <c r="AL17" s="1344"/>
      <c r="AM17" s="1314"/>
      <c r="AN17" s="1314"/>
      <c r="AO17" s="1362"/>
      <c r="AP17" s="1314"/>
      <c r="AQ17" s="1318"/>
      <c r="AR17" s="1418"/>
      <c r="AS17" s="490"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1"/>
      <c r="AU17" s="1303"/>
      <c r="AV17" s="552" t="str">
        <f>IF('別紙様式2-2（４・５月分）'!N16="","",'別紙様式2-2（４・５月分）'!N16)</f>
        <v/>
      </c>
      <c r="AW17" s="1305"/>
      <c r="AX17"/>
      <c r="AY17"/>
      <c r="AZ17"/>
      <c r="BA17"/>
      <c r="BB17"/>
      <c r="BC17"/>
      <c r="BD17"/>
      <c r="BE17"/>
      <c r="BF17"/>
      <c r="BG17"/>
      <c r="BH17"/>
      <c r="BI17"/>
      <c r="BJ17"/>
      <c r="BK17" s="452" t="str">
        <f>G14</f>
        <v/>
      </c>
    </row>
    <row r="18" spans="1:63" ht="30" customHeight="1">
      <c r="A18" s="1293">
        <v>2</v>
      </c>
      <c r="B18" s="1235" t="str">
        <f>IF(基本情報入力シート!C55="","",基本情報入力シート!C55)</f>
        <v/>
      </c>
      <c r="C18" s="1236"/>
      <c r="D18" s="1236"/>
      <c r="E18" s="1236"/>
      <c r="F18" s="1237"/>
      <c r="G18" s="1252" t="str">
        <f>IF(基本情報入力シート!M55="","",基本情報入力シート!M55)</f>
        <v/>
      </c>
      <c r="H18" s="1252" t="str">
        <f>IF(基本情報入力シート!R55="","",基本情報入力シート!R55)</f>
        <v/>
      </c>
      <c r="I18" s="1252" t="str">
        <f>IF(基本情報入力シート!W55="","",基本情報入力シート!W55)</f>
        <v/>
      </c>
      <c r="J18" s="1415" t="str">
        <f>IF(基本情報入力シート!X55="","",基本情報入力シート!X55)</f>
        <v/>
      </c>
      <c r="K18" s="1252" t="str">
        <f>IF(基本情報入力シート!Y55="","",基本情報入力シート!Y55)</f>
        <v/>
      </c>
      <c r="L18" s="1421" t="str">
        <f>IF(基本情報入力シート!AB55="","",基本情報入力シート!AB55)</f>
        <v/>
      </c>
      <c r="M18" s="550" t="str">
        <f>IF('別紙様式2-2（４・５月分）'!P17="","",'別紙様式2-2（４・５月分）'!P17)</f>
        <v/>
      </c>
      <c r="N18" s="1391" t="str">
        <f>IF(SUM('別紙様式2-2（４・５月分）'!Q17:Q19)=0,"",SUM('別紙様式2-2（４・５月分）'!Q17:Q19))</f>
        <v/>
      </c>
      <c r="O18" s="1395" t="str">
        <f>IFERROR(VLOOKUP('別紙様式2-2（４・５月分）'!AQ17,【参考】数式用!$AR$5:$AS$22,2,FALSE),"")</f>
        <v/>
      </c>
      <c r="P18" s="1396"/>
      <c r="Q18" s="1397"/>
      <c r="R18" s="1401" t="str">
        <f>IFERROR(VLOOKUP(K18,【参考】数式用!$A$5:$AB$37,MATCH(O18,【参考】数式用!$B$4:$AB$4,0)+1,0),"")</f>
        <v/>
      </c>
      <c r="S18" s="1403" t="s">
        <v>2021</v>
      </c>
      <c r="T18" s="1405"/>
      <c r="U18" s="1407" t="str">
        <f>IFERROR(VLOOKUP(K18,【参考】数式用!$A$5:$AB$37,MATCH(T18,【参考】数式用!$B$4:$AB$4,0)+1,0),"")</f>
        <v/>
      </c>
      <c r="V18" s="1409" t="s">
        <v>15</v>
      </c>
      <c r="W18" s="1347">
        <v>6</v>
      </c>
      <c r="X18" s="1349" t="s">
        <v>10</v>
      </c>
      <c r="Y18" s="1347">
        <v>6</v>
      </c>
      <c r="Z18" s="1349" t="s">
        <v>38</v>
      </c>
      <c r="AA18" s="1347">
        <v>7</v>
      </c>
      <c r="AB18" s="1349" t="s">
        <v>10</v>
      </c>
      <c r="AC18" s="1347">
        <v>3</v>
      </c>
      <c r="AD18" s="1349" t="s">
        <v>13</v>
      </c>
      <c r="AE18" s="1349" t="s">
        <v>20</v>
      </c>
      <c r="AF18" s="1349">
        <f>IF(W18&gt;=1,(AA18*12+AC18)-(W18*12+Y18)+1,"")</f>
        <v>10</v>
      </c>
      <c r="AG18" s="1351" t="s">
        <v>33</v>
      </c>
      <c r="AH18" s="1353" t="str">
        <f t="shared" ref="AH18" si="0">IFERROR(ROUNDDOWN(ROUND(L18*U18,0),0)*AF18,"")</f>
        <v/>
      </c>
      <c r="AI18" s="1355" t="str">
        <f t="shared" ref="AI18" si="1">IFERROR(ROUNDDOWN(ROUND((L18*(U18-AW18)),0),0)*AF18,"")</f>
        <v/>
      </c>
      <c r="AJ18" s="1357">
        <f>IFERROR(IF(OR(M18="",M19="",M21=""),0,ROUNDDOWN(ROUNDDOWN(ROUND(L18*VLOOKUP(K18,【参考】数式用!$A$5:$AB$37,MATCH("新加算Ⅳ",【参考】数式用!$B$4:$AB$4,0)+1,0),0),0)*AF18*0.5,0)),"")</f>
        <v>0</v>
      </c>
      <c r="AK18" s="1341"/>
      <c r="AL18" s="1345">
        <f>IFERROR(IF(OR(M21="ベア加算",M21=""),0, IF(OR(T18="新加算Ⅰ",T18="新加算Ⅱ",T18="新加算Ⅲ",T18="新加算Ⅳ"),ROUNDDOWN(ROUND(L18*VLOOKUP(K18,【参考】数式用!$A$5:$I$37,MATCH("ベア加算",【参考】数式用!$B$4:$I$4,0)+1,0),0),0)*AF18,0)),"")</f>
        <v>0</v>
      </c>
      <c r="AM18" s="1331"/>
      <c r="AN18" s="1337"/>
      <c r="AO18" s="1333"/>
      <c r="AP18" s="1333"/>
      <c r="AQ18" s="1335"/>
      <c r="AR18" s="1315"/>
      <c r="AS18" s="465" t="str">
        <f t="shared" ref="AS18" si="2">IF(AU18="","",IF(U18&lt;N18,"！加算の要件上は問題ありませんが、令和６年４・５月と比較して令和６年６月に加算率が下がる計画になっています。",""))</f>
        <v/>
      </c>
      <c r="AT18" s="554"/>
      <c r="AU18" s="1303" t="str">
        <f>IF(K18&lt;&gt;"","V列に色付け","")</f>
        <v/>
      </c>
      <c r="AV18" s="552" t="str">
        <f>IF('別紙様式2-2（４・５月分）'!N17="","",'別紙様式2-2（４・５月分）'!N17)</f>
        <v/>
      </c>
      <c r="AW18" s="1305" t="str">
        <f>IF(SUM('別紙様式2-2（４・５月分）'!O17:O19)=0,"",SUM('別紙様式2-2（４・５月分）'!O17:O19))</f>
        <v/>
      </c>
      <c r="AX18" s="1306" t="str">
        <f>IFERROR(VLOOKUP(K18,【参考】数式用!$AH$2:$AI$34,2,FALSE),"")</f>
        <v/>
      </c>
      <c r="AY18" s="1222" t="s">
        <v>1959</v>
      </c>
      <c r="AZ18" s="1222" t="s">
        <v>1960</v>
      </c>
      <c r="BA18" s="1222" t="s">
        <v>1961</v>
      </c>
      <c r="BB18" s="1222" t="s">
        <v>1962</v>
      </c>
      <c r="BC18" s="1222" t="str">
        <f>IF(AND(O18&lt;&gt;"新加算Ⅰ",O18&lt;&gt;"新加算Ⅱ",O18&lt;&gt;"新加算Ⅲ",O18&lt;&gt;"新加算Ⅳ"),O18,IF(P20&lt;&gt;"",P20,""))</f>
        <v/>
      </c>
      <c r="BD18" s="1222"/>
      <c r="BE18" s="1222" t="str">
        <f t="shared" ref="BE18" si="3">IF(AL18&lt;&gt;0,IF(AM18="○","入力済","未入力"),"")</f>
        <v/>
      </c>
      <c r="BF18" s="1222"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2" t="str">
        <f>IF(OR(T18="新加算Ⅴ（７）",T18="新加算Ⅴ（９）",T18="新加算Ⅴ（10）",T18="新加算Ⅴ（12）",T18="新加算Ⅴ（13）",T18="新加算Ⅴ（14）"),IF(OR(AO18="○",AO18="令和６年度中に満たす"),"入力済","未入力"),"")</f>
        <v/>
      </c>
      <c r="BH18" s="1323" t="str">
        <f t="shared" ref="BH18" si="4">IF(OR(T18="新加算Ⅰ",T18="新加算Ⅱ",T18="新加算Ⅲ",T18="新加算Ⅴ（１）",T18="新加算Ⅴ（３）",T18="新加算Ⅴ（８）"),IF(OR(AP18="○",AP18="令和６年度中に満たす"),"入力済","未入力"),"")</f>
        <v/>
      </c>
      <c r="BI18" s="1325" t="str">
        <f t="shared" ref="BI18" si="5">IF(OR(T18="新加算Ⅰ",T18="新加算Ⅱ",T18="新加算Ⅴ（１）",T18="新加算Ⅴ（２）",T18="新加算Ⅴ（３）",T18="新加算Ⅴ（４）",T18="新加算Ⅴ（５）",T18="新加算Ⅴ（６）",T18="新加算Ⅴ（７）",T18="新加算Ⅴ（９）",T18="新加算Ⅴ（10）",T18="新加算Ⅴ（12）"),1,"")</f>
        <v/>
      </c>
      <c r="BJ18" s="1303" t="str">
        <f>IF(OR(T18="新加算Ⅰ",T18="新加算Ⅴ（１）",T18="新加算Ⅴ（２）",T18="新加算Ⅴ（５）",T18="新加算Ⅴ（７）",T18="新加算Ⅴ（10）"),IF(AR18="","未入力","入力済"),"")</f>
        <v/>
      </c>
      <c r="BK18" s="452" t="str">
        <f>G18</f>
        <v/>
      </c>
    </row>
    <row r="19" spans="1:63" ht="15" customHeight="1">
      <c r="A19" s="1267"/>
      <c r="B19" s="1235"/>
      <c r="C19" s="1236"/>
      <c r="D19" s="1236"/>
      <c r="E19" s="1236"/>
      <c r="F19" s="1237"/>
      <c r="G19" s="1252"/>
      <c r="H19" s="1252"/>
      <c r="I19" s="1252"/>
      <c r="J19" s="1415"/>
      <c r="K19" s="1252"/>
      <c r="L19" s="1421"/>
      <c r="M19" s="1371" t="str">
        <f>IF('別紙様式2-2（４・５月分）'!P18="","",'別紙様式2-2（４・５月分）'!P18)</f>
        <v/>
      </c>
      <c r="N19" s="1392"/>
      <c r="O19" s="1398"/>
      <c r="P19" s="1399"/>
      <c r="Q19" s="1400"/>
      <c r="R19" s="1402"/>
      <c r="S19" s="1404"/>
      <c r="T19" s="1406"/>
      <c r="U19" s="1408"/>
      <c r="V19" s="1410"/>
      <c r="W19" s="1348"/>
      <c r="X19" s="1350"/>
      <c r="Y19" s="1348"/>
      <c r="Z19" s="1350"/>
      <c r="AA19" s="1348"/>
      <c r="AB19" s="1350"/>
      <c r="AC19" s="1348"/>
      <c r="AD19" s="1350"/>
      <c r="AE19" s="1350"/>
      <c r="AF19" s="1350"/>
      <c r="AG19" s="1352"/>
      <c r="AH19" s="1354"/>
      <c r="AI19" s="1356"/>
      <c r="AJ19" s="1358"/>
      <c r="AK19" s="1342"/>
      <c r="AL19" s="1346"/>
      <c r="AM19" s="1332"/>
      <c r="AN19" s="1338"/>
      <c r="AO19" s="1334"/>
      <c r="AP19" s="1334"/>
      <c r="AQ19" s="1336"/>
      <c r="AR19" s="1316"/>
      <c r="AS19" s="1302"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4"/>
      <c r="AU19" s="1303"/>
      <c r="AV19" s="1312" t="str">
        <f>IF('別紙様式2-2（４・５月分）'!N18="","",'別紙様式2-2（４・５月分）'!N18)</f>
        <v/>
      </c>
      <c r="AW19" s="1305"/>
      <c r="AX19" s="1306"/>
      <c r="AY19" s="1222"/>
      <c r="AZ19" s="1222"/>
      <c r="BA19" s="1222"/>
      <c r="BB19" s="1222"/>
      <c r="BC19" s="1222"/>
      <c r="BD19" s="1222"/>
      <c r="BE19" s="1222"/>
      <c r="BF19" s="1222"/>
      <c r="BG19" s="1222"/>
      <c r="BH19" s="1324"/>
      <c r="BI19" s="1326"/>
      <c r="BJ19" s="1303"/>
      <c r="BK19" s="452" t="str">
        <f>G18</f>
        <v/>
      </c>
    </row>
    <row r="20" spans="1:63" ht="15" customHeight="1">
      <c r="A20" s="1295"/>
      <c r="B20" s="1235"/>
      <c r="C20" s="1236"/>
      <c r="D20" s="1236"/>
      <c r="E20" s="1236"/>
      <c r="F20" s="1237"/>
      <c r="G20" s="1252"/>
      <c r="H20" s="1252"/>
      <c r="I20" s="1252"/>
      <c r="J20" s="1415"/>
      <c r="K20" s="1252"/>
      <c r="L20" s="1421"/>
      <c r="M20" s="1372"/>
      <c r="N20" s="1393"/>
      <c r="O20" s="1432" t="s">
        <v>2025</v>
      </c>
      <c r="P20" s="1375" t="str">
        <f>IFERROR(VLOOKUP('別紙様式2-2（４・５月分）'!AQ17,【参考】数式用!$AR$5:$AT$22,3,FALSE),"")</f>
        <v/>
      </c>
      <c r="Q20" s="1434" t="s">
        <v>2036</v>
      </c>
      <c r="R20" s="1379" t="str">
        <f>IFERROR(VLOOKUP(K18,【参考】数式用!$A$5:$AB$37,MATCH(P20,【参考】数式用!$B$4:$AB$4,0)+1,0),"")</f>
        <v/>
      </c>
      <c r="S20" s="1381" t="s">
        <v>161</v>
      </c>
      <c r="T20" s="1383"/>
      <c r="U20" s="1385" t="str">
        <f>IFERROR(VLOOKUP(K18,【参考】数式用!$A$5:$AB$37,MATCH(T20,【参考】数式用!$B$4:$AB$4,0)+1,0),"")</f>
        <v/>
      </c>
      <c r="V20" s="1387" t="s">
        <v>15</v>
      </c>
      <c r="W20" s="1419">
        <v>7</v>
      </c>
      <c r="X20" s="1363" t="s">
        <v>10</v>
      </c>
      <c r="Y20" s="1419">
        <v>4</v>
      </c>
      <c r="Z20" s="1363" t="s">
        <v>38</v>
      </c>
      <c r="AA20" s="1419">
        <v>8</v>
      </c>
      <c r="AB20" s="1363" t="s">
        <v>10</v>
      </c>
      <c r="AC20" s="1419">
        <v>3</v>
      </c>
      <c r="AD20" s="1363" t="s">
        <v>13</v>
      </c>
      <c r="AE20" s="1363" t="s">
        <v>20</v>
      </c>
      <c r="AF20" s="1363">
        <f>IF(W20&gt;=1,(AA20*12+AC20)-(W20*12+Y20)+1,"")</f>
        <v>12</v>
      </c>
      <c r="AG20" s="1359" t="s">
        <v>33</v>
      </c>
      <c r="AH20" s="1365" t="str">
        <f t="shared" ref="AH20" si="7">IFERROR(ROUNDDOWN(ROUND(L18*U20,0),0)*AF20,"")</f>
        <v/>
      </c>
      <c r="AI20" s="1367" t="str">
        <f t="shared" ref="AI20" si="8">IFERROR(ROUNDDOWN(ROUND((L18*(U20-AW18)),0),0)*AF20,"")</f>
        <v/>
      </c>
      <c r="AJ20" s="1369">
        <f>IFERROR(IF(OR(M18="",M19="",M21=""),0,ROUNDDOWN(ROUNDDOWN(ROUND(L18*VLOOKUP(K18,【参考】数式用!$A$5:$AB$37,MATCH("新加算Ⅳ",【参考】数式用!$B$4:$AB$4,0)+1,0),0),0)*AF20*0.5,0)),"")</f>
        <v>0</v>
      </c>
      <c r="AK20" s="1339" t="str">
        <f>IF(T20&lt;&gt;"","新規に適用","")</f>
        <v/>
      </c>
      <c r="AL20" s="1343">
        <f>IFERROR(IF(OR(M21="ベア加算",M21=""),0, IF(OR(T18="新加算Ⅰ",T18="新加算Ⅱ",T18="新加算Ⅲ",T18="新加算Ⅳ"),0,ROUNDDOWN(ROUND(L18*VLOOKUP(K18,【参考】数式用!$A$5:$I$37,MATCH("ベア加算",【参考】数式用!$B$4:$I$4,0)+1,0),0),0)*AF20)),"")</f>
        <v>0</v>
      </c>
      <c r="AM20" s="1313" t="str">
        <f>IF(AND(T20&lt;&gt;"",AM18=""),"新規に適用",IF(AND(T20&lt;&gt;"",AM18&lt;&gt;""),"継続で適用",""))</f>
        <v/>
      </c>
      <c r="AN20" s="1313" t="str">
        <f>IF(AND(T20&lt;&gt;"",AN18=""),"新規に適用",IF(AND(T20&lt;&gt;"",AN18&lt;&gt;""),"継続で適用",""))</f>
        <v/>
      </c>
      <c r="AO20" s="1361"/>
      <c r="AP20" s="1313" t="str">
        <f>IF(AND(T20&lt;&gt;"",AP18=""),"新規に適用",IF(AND(T20&lt;&gt;"",AP18&lt;&gt;""),"継続で適用",""))</f>
        <v/>
      </c>
      <c r="AQ20" s="1317"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13" t="str">
        <f>IF(AND(T20&lt;&gt;"",AR18=""),"新規に適用",IF(AND(T20&lt;&gt;"",AR18&lt;&gt;""),"継続で適用",""))</f>
        <v/>
      </c>
      <c r="AS20" s="1302"/>
      <c r="AT20" s="554"/>
      <c r="AU20" s="1303" t="str">
        <f>IF(K18&lt;&gt;"","V列に色付け","")</f>
        <v/>
      </c>
      <c r="AV20" s="1312"/>
      <c r="AW20" s="1305"/>
      <c r="AX20"/>
      <c r="AY20"/>
      <c r="AZ20"/>
      <c r="BA20"/>
      <c r="BB20"/>
      <c r="BC20"/>
      <c r="BD20"/>
      <c r="BE20"/>
      <c r="BF20"/>
      <c r="BG20"/>
      <c r="BH20"/>
      <c r="BI20"/>
      <c r="BJ20"/>
      <c r="BK20" s="452" t="str">
        <f>G18</f>
        <v/>
      </c>
    </row>
    <row r="21" spans="1:63" ht="30" customHeight="1" thickBot="1">
      <c r="A21" s="1268"/>
      <c r="B21" s="1411"/>
      <c r="C21" s="1412"/>
      <c r="D21" s="1412"/>
      <c r="E21" s="1412"/>
      <c r="F21" s="1413"/>
      <c r="G21" s="1253"/>
      <c r="H21" s="1253"/>
      <c r="I21" s="1253"/>
      <c r="J21" s="1416"/>
      <c r="K21" s="1253"/>
      <c r="L21" s="1422"/>
      <c r="M21" s="553" t="str">
        <f>IF('別紙様式2-2（４・５月分）'!P19="","",'別紙様式2-2（４・５月分）'!P19)</f>
        <v/>
      </c>
      <c r="N21" s="1394"/>
      <c r="O21" s="1433"/>
      <c r="P21" s="1376"/>
      <c r="Q21" s="1435"/>
      <c r="R21" s="1380"/>
      <c r="S21" s="1382"/>
      <c r="T21" s="1384"/>
      <c r="U21" s="1386"/>
      <c r="V21" s="1388"/>
      <c r="W21" s="1420"/>
      <c r="X21" s="1364"/>
      <c r="Y21" s="1420"/>
      <c r="Z21" s="1364"/>
      <c r="AA21" s="1420"/>
      <c r="AB21" s="1364"/>
      <c r="AC21" s="1420"/>
      <c r="AD21" s="1364"/>
      <c r="AE21" s="1364"/>
      <c r="AF21" s="1364"/>
      <c r="AG21" s="1360"/>
      <c r="AH21" s="1366"/>
      <c r="AI21" s="1368"/>
      <c r="AJ21" s="1370"/>
      <c r="AK21" s="1340"/>
      <c r="AL21" s="1344"/>
      <c r="AM21" s="1314"/>
      <c r="AN21" s="1314"/>
      <c r="AO21" s="1362"/>
      <c r="AP21" s="1314"/>
      <c r="AQ21" s="1318"/>
      <c r="AR21" s="1314"/>
      <c r="AS21" s="490"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4"/>
      <c r="AU21" s="1303"/>
      <c r="AV21" s="552" t="str">
        <f>IF('別紙様式2-2（４・５月分）'!N19="","",'別紙様式2-2（４・５月分）'!N19)</f>
        <v/>
      </c>
      <c r="AW21" s="1305"/>
      <c r="AX21"/>
      <c r="AY21"/>
      <c r="AZ21"/>
      <c r="BA21"/>
      <c r="BB21"/>
      <c r="BC21"/>
      <c r="BD21"/>
      <c r="BE21"/>
      <c r="BF21"/>
      <c r="BG21"/>
      <c r="BH21"/>
      <c r="BI21"/>
      <c r="BJ21"/>
      <c r="BK21" s="452" t="str">
        <f>G18</f>
        <v/>
      </c>
    </row>
    <row r="22" spans="1:63" ht="30" customHeight="1">
      <c r="A22" s="1266">
        <v>3</v>
      </c>
      <c r="B22" s="1232" t="str">
        <f>IF(基本情報入力シート!C56="","",基本情報入力シート!C56)</f>
        <v/>
      </c>
      <c r="C22" s="1233"/>
      <c r="D22" s="1233"/>
      <c r="E22" s="1233"/>
      <c r="F22" s="1234"/>
      <c r="G22" s="1251" t="str">
        <f>IF(基本情報入力シート!M56="","",基本情報入力シート!M56)</f>
        <v/>
      </c>
      <c r="H22" s="1251" t="str">
        <f>IF(基本情報入力シート!R56="","",基本情報入力シート!R56)</f>
        <v/>
      </c>
      <c r="I22" s="1251" t="str">
        <f>IF(基本情報入力シート!W56="","",基本情報入力シート!W56)</f>
        <v/>
      </c>
      <c r="J22" s="1414" t="str">
        <f>IF(基本情報入力シート!X56="","",基本情報入力シート!X56)</f>
        <v/>
      </c>
      <c r="K22" s="1251" t="str">
        <f>IF(基本情報入力シート!Y56="","",基本情報入力シート!Y56)</f>
        <v/>
      </c>
      <c r="L22" s="1427" t="str">
        <f>IF(基本情報入力シート!AB56="","",基本情報入力シート!AB56)</f>
        <v/>
      </c>
      <c r="M22" s="550" t="str">
        <f>IF('別紙様式2-2（４・５月分）'!P20="","",'別紙様式2-2（４・５月分）'!P20)</f>
        <v/>
      </c>
      <c r="N22" s="1391" t="str">
        <f>IF(SUM('別紙様式2-2（４・５月分）'!Q20:Q22)=0,"",SUM('別紙様式2-2（４・５月分）'!Q20:Q22))</f>
        <v/>
      </c>
      <c r="O22" s="1395" t="str">
        <f>IFERROR(VLOOKUP('別紙様式2-2（４・５月分）'!AQ20,【参考】数式用!$AR$5:$AS$22,2,FALSE),"")</f>
        <v/>
      </c>
      <c r="P22" s="1396"/>
      <c r="Q22" s="1397"/>
      <c r="R22" s="1401" t="str">
        <f>IFERROR(VLOOKUP(K22,【参考】数式用!$A$5:$AB$37,MATCH(O22,【参考】数式用!$B$4:$AB$4,0)+1,0),"")</f>
        <v/>
      </c>
      <c r="S22" s="1403" t="s">
        <v>2021</v>
      </c>
      <c r="T22" s="1423"/>
      <c r="U22" s="1407" t="str">
        <f>IFERROR(VLOOKUP(K22,【参考】数式用!$A$5:$AB$37,MATCH(T22,【参考】数式用!$B$4:$AB$4,0)+1,0),"")</f>
        <v/>
      </c>
      <c r="V22" s="1409" t="s">
        <v>15</v>
      </c>
      <c r="W22" s="1347">
        <v>6</v>
      </c>
      <c r="X22" s="1349" t="s">
        <v>10</v>
      </c>
      <c r="Y22" s="1347">
        <v>6</v>
      </c>
      <c r="Z22" s="1349" t="s">
        <v>38</v>
      </c>
      <c r="AA22" s="1347">
        <v>7</v>
      </c>
      <c r="AB22" s="1349" t="s">
        <v>10</v>
      </c>
      <c r="AC22" s="1347">
        <v>3</v>
      </c>
      <c r="AD22" s="1349" t="s">
        <v>13</v>
      </c>
      <c r="AE22" s="1349" t="s">
        <v>20</v>
      </c>
      <c r="AF22" s="1349">
        <f>IF(W22&gt;=1,(AA22*12+AC22)-(W22*12+Y22)+1,"")</f>
        <v>10</v>
      </c>
      <c r="AG22" s="1351" t="s">
        <v>33</v>
      </c>
      <c r="AH22" s="1353" t="str">
        <f t="shared" ref="AH22" si="11">IFERROR(ROUNDDOWN(ROUND(L22*U22,0),0)*AF22,"")</f>
        <v/>
      </c>
      <c r="AI22" s="1355" t="str">
        <f t="shared" ref="AI22" si="12">IFERROR(ROUNDDOWN(ROUND((L22*(U22-AW22)),0),0)*AF22,"")</f>
        <v/>
      </c>
      <c r="AJ22" s="1357">
        <f>IFERROR(IF(OR(M22="",M23="",M25=""),0,ROUNDDOWN(ROUNDDOWN(ROUND(L22*VLOOKUP(K22,【参考】数式用!$A$5:$AB$37,MATCH("新加算Ⅳ",【参考】数式用!$B$4:$AB$4,0)+1,0),0),0)*AF22*0.5,0)),"")</f>
        <v>0</v>
      </c>
      <c r="AK22" s="1341"/>
      <c r="AL22" s="1345">
        <f>IFERROR(IF(OR(M25="ベア加算",M25=""),0, IF(OR(T22="新加算Ⅰ",T22="新加算Ⅱ",T22="新加算Ⅲ",T22="新加算Ⅳ"),ROUNDDOWN(ROUND(L22*VLOOKUP(K22,【参考】数式用!$A$5:$I$37,MATCH("ベア加算",【参考】数式用!$B$4:$I$4,0)+1,0),0),0)*AF22,0)),"")</f>
        <v>0</v>
      </c>
      <c r="AM22" s="1331"/>
      <c r="AN22" s="1337"/>
      <c r="AO22" s="1333"/>
      <c r="AP22" s="1333"/>
      <c r="AQ22" s="1335"/>
      <c r="AR22" s="1315"/>
      <c r="AS22" s="465" t="str">
        <f t="shared" ref="AS22" si="13">IF(AU22="","",IF(U22&lt;N22,"！加算の要件上は問題ありませんが、令和６年４・５月と比較して令和６年６月に加算率が下がる計画になっています。",""))</f>
        <v/>
      </c>
      <c r="AT22" s="554"/>
      <c r="AU22" s="1303" t="str">
        <f>IF(K22&lt;&gt;"","V列に色付け","")</f>
        <v/>
      </c>
      <c r="AV22" s="552" t="str">
        <f>IF('別紙様式2-2（４・５月分）'!N20="","",'別紙様式2-2（４・５月分）'!N20)</f>
        <v/>
      </c>
      <c r="AW22" s="1305" t="str">
        <f>IF(SUM('別紙様式2-2（４・５月分）'!O20:O22)=0,"",SUM('別紙様式2-2（４・５月分）'!O20:O22))</f>
        <v/>
      </c>
      <c r="AX22" s="1306" t="str">
        <f>IFERROR(VLOOKUP(K22,【参考】数式用!$AH$2:$AI$34,2,FALSE),"")</f>
        <v/>
      </c>
      <c r="AY22" s="1222" t="s">
        <v>1959</v>
      </c>
      <c r="AZ22" s="1222" t="s">
        <v>1960</v>
      </c>
      <c r="BA22" s="1222" t="s">
        <v>1961</v>
      </c>
      <c r="BB22" s="1222" t="s">
        <v>1962</v>
      </c>
      <c r="BC22" s="1222" t="str">
        <f>IF(AND(O22&lt;&gt;"新加算Ⅰ",O22&lt;&gt;"新加算Ⅱ",O22&lt;&gt;"新加算Ⅲ",O22&lt;&gt;"新加算Ⅳ"),O22,IF(P24&lt;&gt;"",P24,""))</f>
        <v/>
      </c>
      <c r="BD22" s="1222"/>
      <c r="BE22" s="1222" t="str">
        <f t="shared" ref="BE22" si="14">IF(AL22&lt;&gt;0,IF(AM22="○","入力済","未入力"),"")</f>
        <v/>
      </c>
      <c r="BF22" s="1222"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2" t="str">
        <f>IF(OR(T22="新加算Ⅴ（７）",T22="新加算Ⅴ（９）",T22="新加算Ⅴ（10）",T22="新加算Ⅴ（12）",T22="新加算Ⅴ（13）",T22="新加算Ⅴ（14）"),IF(OR(AO22="○",AO22="令和６年度中に満たす"),"入力済","未入力"),"")</f>
        <v/>
      </c>
      <c r="BH22" s="1323" t="str">
        <f t="shared" ref="BH22" si="15">IF(OR(T22="新加算Ⅰ",T22="新加算Ⅱ",T22="新加算Ⅲ",T22="新加算Ⅴ（１）",T22="新加算Ⅴ（３）",T22="新加算Ⅴ（８）"),IF(OR(AP22="○",AP22="令和６年度中に満たす"),"入力済","未入力"),"")</f>
        <v/>
      </c>
      <c r="BI22" s="1325" t="str">
        <f t="shared" ref="BI22" si="16">IF(OR(T22="新加算Ⅰ",T22="新加算Ⅱ",T22="新加算Ⅴ（１）",T22="新加算Ⅴ（２）",T22="新加算Ⅴ（３）",T22="新加算Ⅴ（４）",T22="新加算Ⅴ（５）",T22="新加算Ⅴ（６）",T22="新加算Ⅴ（７）",T22="新加算Ⅴ（９）",T22="新加算Ⅴ（10）",T22="新加算Ⅴ（12）"),1,"")</f>
        <v/>
      </c>
      <c r="BJ22" s="1303" t="str">
        <f>IF(OR(T22="新加算Ⅰ",T22="新加算Ⅴ（１）",T22="新加算Ⅴ（２）",T22="新加算Ⅴ（５）",T22="新加算Ⅴ（７）",T22="新加算Ⅴ（10）"),IF(AR22="","未入力","入力済"),"")</f>
        <v/>
      </c>
      <c r="BK22" s="452" t="str">
        <f>G22</f>
        <v/>
      </c>
    </row>
    <row r="23" spans="1:63" ht="15" customHeight="1">
      <c r="A23" s="1267"/>
      <c r="B23" s="1235"/>
      <c r="C23" s="1236"/>
      <c r="D23" s="1236"/>
      <c r="E23" s="1236"/>
      <c r="F23" s="1237"/>
      <c r="G23" s="1252"/>
      <c r="H23" s="1252"/>
      <c r="I23" s="1252"/>
      <c r="J23" s="1415"/>
      <c r="K23" s="1252"/>
      <c r="L23" s="1421"/>
      <c r="M23" s="1371" t="str">
        <f>IF('別紙様式2-2（４・５月分）'!P21="","",'別紙様式2-2（４・５月分）'!P21)</f>
        <v/>
      </c>
      <c r="N23" s="1392"/>
      <c r="O23" s="1398"/>
      <c r="P23" s="1399"/>
      <c r="Q23" s="1400"/>
      <c r="R23" s="1402"/>
      <c r="S23" s="1404"/>
      <c r="T23" s="1424"/>
      <c r="U23" s="1408"/>
      <c r="V23" s="1410"/>
      <c r="W23" s="1348"/>
      <c r="X23" s="1350"/>
      <c r="Y23" s="1348"/>
      <c r="Z23" s="1350"/>
      <c r="AA23" s="1348"/>
      <c r="AB23" s="1350"/>
      <c r="AC23" s="1348"/>
      <c r="AD23" s="1350"/>
      <c r="AE23" s="1350"/>
      <c r="AF23" s="1350"/>
      <c r="AG23" s="1352"/>
      <c r="AH23" s="1354"/>
      <c r="AI23" s="1356"/>
      <c r="AJ23" s="1358"/>
      <c r="AK23" s="1342"/>
      <c r="AL23" s="1346"/>
      <c r="AM23" s="1332"/>
      <c r="AN23" s="1338"/>
      <c r="AO23" s="1334"/>
      <c r="AP23" s="1334"/>
      <c r="AQ23" s="1336"/>
      <c r="AR23" s="1316"/>
      <c r="AS23" s="1302"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4"/>
      <c r="AU23" s="1303"/>
      <c r="AV23" s="1312" t="str">
        <f>IF('別紙様式2-2（４・５月分）'!N21="","",'別紙様式2-2（４・５月分）'!N21)</f>
        <v/>
      </c>
      <c r="AW23" s="1305"/>
      <c r="AX23" s="1306"/>
      <c r="AY23" s="1222"/>
      <c r="AZ23" s="1222"/>
      <c r="BA23" s="1222"/>
      <c r="BB23" s="1222"/>
      <c r="BC23" s="1222"/>
      <c r="BD23" s="1222"/>
      <c r="BE23" s="1222"/>
      <c r="BF23" s="1222"/>
      <c r="BG23" s="1222"/>
      <c r="BH23" s="1324"/>
      <c r="BI23" s="1326"/>
      <c r="BJ23" s="1303"/>
      <c r="BK23" s="452" t="str">
        <f>G22</f>
        <v/>
      </c>
    </row>
    <row r="24" spans="1:63" ht="15" customHeight="1">
      <c r="A24" s="1295"/>
      <c r="B24" s="1235"/>
      <c r="C24" s="1236"/>
      <c r="D24" s="1236"/>
      <c r="E24" s="1236"/>
      <c r="F24" s="1237"/>
      <c r="G24" s="1252"/>
      <c r="H24" s="1252"/>
      <c r="I24" s="1252"/>
      <c r="J24" s="1415"/>
      <c r="K24" s="1252"/>
      <c r="L24" s="1421"/>
      <c r="M24" s="1372"/>
      <c r="N24" s="1393"/>
      <c r="O24" s="1373" t="s">
        <v>2025</v>
      </c>
      <c r="P24" s="1375" t="str">
        <f>IFERROR(VLOOKUP('別紙様式2-2（４・５月分）'!AQ20,【参考】数式用!$AR$5:$AT$22,3,FALSE),"")</f>
        <v/>
      </c>
      <c r="Q24" s="1377" t="s">
        <v>2036</v>
      </c>
      <c r="R24" s="1379" t="str">
        <f>IFERROR(VLOOKUP(K22,【参考】数式用!$A$5:$AB$37,MATCH(P24,【参考】数式用!$B$4:$AB$4,0)+1,0),"")</f>
        <v/>
      </c>
      <c r="S24" s="1381" t="s">
        <v>161</v>
      </c>
      <c r="T24" s="1383"/>
      <c r="U24" s="1385" t="str">
        <f>IFERROR(VLOOKUP(K22,【参考】数式用!$A$5:$AB$37,MATCH(T24,【参考】数式用!$B$4:$AB$4,0)+1,0),"")</f>
        <v/>
      </c>
      <c r="V24" s="1387" t="s">
        <v>15</v>
      </c>
      <c r="W24" s="1419">
        <v>7</v>
      </c>
      <c r="X24" s="1363" t="s">
        <v>10</v>
      </c>
      <c r="Y24" s="1419">
        <v>4</v>
      </c>
      <c r="Z24" s="1363" t="s">
        <v>38</v>
      </c>
      <c r="AA24" s="1419">
        <v>8</v>
      </c>
      <c r="AB24" s="1363" t="s">
        <v>10</v>
      </c>
      <c r="AC24" s="1419">
        <v>3</v>
      </c>
      <c r="AD24" s="1363" t="s">
        <v>13</v>
      </c>
      <c r="AE24" s="1363" t="s">
        <v>20</v>
      </c>
      <c r="AF24" s="1363">
        <f>IF(W24&gt;=1,(AA24*12+AC24)-(W24*12+Y24)+1,"")</f>
        <v>12</v>
      </c>
      <c r="AG24" s="1359" t="s">
        <v>33</v>
      </c>
      <c r="AH24" s="1365" t="str">
        <f t="shared" ref="AH24" si="18">IFERROR(ROUNDDOWN(ROUND(L22*U24,0),0)*AF24,"")</f>
        <v/>
      </c>
      <c r="AI24" s="1367" t="str">
        <f t="shared" ref="AI24" si="19">IFERROR(ROUNDDOWN(ROUND((L22*(U24-AW22)),0),0)*AF24,"")</f>
        <v/>
      </c>
      <c r="AJ24" s="1369">
        <f>IFERROR(IF(OR(M22="",M23="",M25=""),0,ROUNDDOWN(ROUNDDOWN(ROUND(L22*VLOOKUP(K22,【参考】数式用!$A$5:$AB$37,MATCH("新加算Ⅳ",【参考】数式用!$B$4:$AB$4,0)+1,0),0),0)*AF24*0.5,0)),"")</f>
        <v>0</v>
      </c>
      <c r="AK24" s="1339" t="str">
        <f>IF(T24&lt;&gt;"","新規に適用","")</f>
        <v/>
      </c>
      <c r="AL24" s="1343">
        <f>IFERROR(IF(OR(M25="ベア加算",M25=""),0, IF(OR(T22="新加算Ⅰ",T22="新加算Ⅱ",T22="新加算Ⅲ",T22="新加算Ⅳ"),0,ROUNDDOWN(ROUND(L22*VLOOKUP(K22,【参考】数式用!$A$5:$I$37,MATCH("ベア加算",【参考】数式用!$B$4:$I$4,0)+1,0),0),0)*AF24)),"")</f>
        <v>0</v>
      </c>
      <c r="AM24" s="1313" t="str">
        <f>IF(AND(T24&lt;&gt;"",AM22=""),"新規に適用",IF(AND(T24&lt;&gt;"",AM22&lt;&gt;""),"継続で適用",""))</f>
        <v/>
      </c>
      <c r="AN24" s="1313" t="str">
        <f>IF(AND(T24&lt;&gt;"",AN22=""),"新規に適用",IF(AND(T24&lt;&gt;"",AN22&lt;&gt;""),"継続で適用",""))</f>
        <v/>
      </c>
      <c r="AO24" s="1361"/>
      <c r="AP24" s="1313" t="str">
        <f>IF(AND(T24&lt;&gt;"",AP22=""),"新規に適用",IF(AND(T24&lt;&gt;"",AP22&lt;&gt;""),"継続で適用",""))</f>
        <v/>
      </c>
      <c r="AQ24" s="1317"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13" t="str">
        <f>IF(AND(T24&lt;&gt;"",AR22=""),"新規に適用",IF(AND(T24&lt;&gt;"",AR22&lt;&gt;""),"継続で適用",""))</f>
        <v/>
      </c>
      <c r="AS24" s="1302"/>
      <c r="AT24" s="554"/>
      <c r="AU24" s="1303" t="str">
        <f>IF(K22&lt;&gt;"","V列に色付け","")</f>
        <v/>
      </c>
      <c r="AV24" s="1312"/>
      <c r="AW24" s="1305"/>
      <c r="AX24"/>
      <c r="AY24"/>
      <c r="AZ24"/>
      <c r="BA24"/>
      <c r="BB24"/>
      <c r="BC24"/>
      <c r="BD24"/>
      <c r="BE24"/>
      <c r="BF24"/>
      <c r="BG24"/>
      <c r="BH24"/>
      <c r="BI24"/>
      <c r="BJ24"/>
      <c r="BK24" s="452" t="str">
        <f>G22</f>
        <v/>
      </c>
    </row>
    <row r="25" spans="1:63" ht="30" customHeight="1" thickBot="1">
      <c r="A25" s="1268"/>
      <c r="B25" s="1411"/>
      <c r="C25" s="1412"/>
      <c r="D25" s="1412"/>
      <c r="E25" s="1412"/>
      <c r="F25" s="1413"/>
      <c r="G25" s="1253"/>
      <c r="H25" s="1253"/>
      <c r="I25" s="1253"/>
      <c r="J25" s="1416"/>
      <c r="K25" s="1253"/>
      <c r="L25" s="1422"/>
      <c r="M25" s="553" t="str">
        <f>IF('別紙様式2-2（４・５月分）'!P22="","",'別紙様式2-2（４・５月分）'!P22)</f>
        <v/>
      </c>
      <c r="N25" s="1394"/>
      <c r="O25" s="1374"/>
      <c r="P25" s="1376"/>
      <c r="Q25" s="1378"/>
      <c r="R25" s="1380"/>
      <c r="S25" s="1382"/>
      <c r="T25" s="1384"/>
      <c r="U25" s="1386"/>
      <c r="V25" s="1388"/>
      <c r="W25" s="1420"/>
      <c r="X25" s="1364"/>
      <c r="Y25" s="1420"/>
      <c r="Z25" s="1364"/>
      <c r="AA25" s="1420"/>
      <c r="AB25" s="1364"/>
      <c r="AC25" s="1420"/>
      <c r="AD25" s="1364"/>
      <c r="AE25" s="1364"/>
      <c r="AF25" s="1364"/>
      <c r="AG25" s="1360"/>
      <c r="AH25" s="1366"/>
      <c r="AI25" s="1368"/>
      <c r="AJ25" s="1370"/>
      <c r="AK25" s="1340"/>
      <c r="AL25" s="1344"/>
      <c r="AM25" s="1314"/>
      <c r="AN25" s="1314"/>
      <c r="AO25" s="1362"/>
      <c r="AP25" s="1314"/>
      <c r="AQ25" s="1318"/>
      <c r="AR25" s="1314"/>
      <c r="AS25" s="490"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4"/>
      <c r="AU25" s="1303"/>
      <c r="AV25" s="552" t="str">
        <f>IF('別紙様式2-2（４・５月分）'!N22="","",'別紙様式2-2（４・５月分）'!N22)</f>
        <v/>
      </c>
      <c r="AW25" s="1305"/>
      <c r="AX25"/>
      <c r="AY25"/>
      <c r="AZ25"/>
      <c r="BA25"/>
      <c r="BB25"/>
      <c r="BC25"/>
      <c r="BD25"/>
      <c r="BE25"/>
      <c r="BF25"/>
      <c r="BG25"/>
      <c r="BH25"/>
      <c r="BI25"/>
      <c r="BJ25"/>
      <c r="BK25" s="452" t="str">
        <f>G22</f>
        <v/>
      </c>
    </row>
    <row r="26" spans="1:63" ht="30" customHeight="1">
      <c r="A26" s="1293">
        <v>4</v>
      </c>
      <c r="B26" s="1235" t="str">
        <f>IF(基本情報入力シート!C57="","",基本情報入力シート!C57)</f>
        <v/>
      </c>
      <c r="C26" s="1236"/>
      <c r="D26" s="1236"/>
      <c r="E26" s="1236"/>
      <c r="F26" s="1237"/>
      <c r="G26" s="1252" t="str">
        <f>IF(基本情報入力シート!M57="","",基本情報入力シート!M57)</f>
        <v/>
      </c>
      <c r="H26" s="1252" t="str">
        <f>IF(基本情報入力シート!R57="","",基本情報入力シート!R57)</f>
        <v/>
      </c>
      <c r="I26" s="1252" t="str">
        <f>IF(基本情報入力シート!W57="","",基本情報入力シート!W57)</f>
        <v/>
      </c>
      <c r="J26" s="1415" t="str">
        <f>IF(基本情報入力シート!X57="","",基本情報入力シート!X57)</f>
        <v/>
      </c>
      <c r="K26" s="1252" t="str">
        <f>IF(基本情報入力シート!Y57="","",基本情報入力シート!Y57)</f>
        <v/>
      </c>
      <c r="L26" s="1421" t="str">
        <f>IF(基本情報入力シート!AB57="","",基本情報入力シート!AB57)</f>
        <v/>
      </c>
      <c r="M26" s="550" t="str">
        <f>IF('別紙様式2-2（４・５月分）'!P23="","",'別紙様式2-2（４・５月分）'!P23)</f>
        <v/>
      </c>
      <c r="N26" s="1391" t="str">
        <f>IF(SUM('別紙様式2-2（４・５月分）'!Q23:Q25)=0,"",SUM('別紙様式2-2（４・５月分）'!Q23:Q25))</f>
        <v/>
      </c>
      <c r="O26" s="1395" t="str">
        <f>IFERROR(VLOOKUP('別紙様式2-2（４・５月分）'!AQ23,【参考】数式用!$AR$5:$AS$22,2,FALSE),"")</f>
        <v/>
      </c>
      <c r="P26" s="1396"/>
      <c r="Q26" s="1397"/>
      <c r="R26" s="1401" t="str">
        <f>IFERROR(VLOOKUP(K26,【参考】数式用!$A$5:$AB$37,MATCH(O26,【参考】数式用!$B$4:$AB$4,0)+1,0),"")</f>
        <v/>
      </c>
      <c r="S26" s="1403" t="s">
        <v>2021</v>
      </c>
      <c r="T26" s="1423"/>
      <c r="U26" s="1407" t="str">
        <f>IFERROR(VLOOKUP(K26,【参考】数式用!$A$5:$AB$37,MATCH(T26,【参考】数式用!$B$4:$AB$4,0)+1,0),"")</f>
        <v/>
      </c>
      <c r="V26" s="1409" t="s">
        <v>15</v>
      </c>
      <c r="W26" s="1347">
        <v>6</v>
      </c>
      <c r="X26" s="1349" t="s">
        <v>10</v>
      </c>
      <c r="Y26" s="1347">
        <v>6</v>
      </c>
      <c r="Z26" s="1349" t="s">
        <v>38</v>
      </c>
      <c r="AA26" s="1347">
        <v>7</v>
      </c>
      <c r="AB26" s="1349" t="s">
        <v>10</v>
      </c>
      <c r="AC26" s="1347">
        <v>3</v>
      </c>
      <c r="AD26" s="1349" t="s">
        <v>13</v>
      </c>
      <c r="AE26" s="1349" t="s">
        <v>20</v>
      </c>
      <c r="AF26" s="1349">
        <f>IF(W26&gt;=1,(AA26*12+AC26)-(W26*12+Y26)+1,"")</f>
        <v>10</v>
      </c>
      <c r="AG26" s="1351" t="s">
        <v>33</v>
      </c>
      <c r="AH26" s="1353" t="str">
        <f t="shared" ref="AH26" si="22">IFERROR(ROUNDDOWN(ROUND(L26*U26,0),0)*AF26,"")</f>
        <v/>
      </c>
      <c r="AI26" s="1355" t="str">
        <f t="shared" ref="AI26" si="23">IFERROR(ROUNDDOWN(ROUND((L26*(U26-AW26)),0),0)*AF26,"")</f>
        <v/>
      </c>
      <c r="AJ26" s="1357">
        <f>IFERROR(IF(OR(M26="",M27="",M29=""),0,ROUNDDOWN(ROUNDDOWN(ROUND(L26*VLOOKUP(K26,【参考】数式用!$A$5:$AB$37,MATCH("新加算Ⅳ",【参考】数式用!$B$4:$AB$4,0)+1,0),0),0)*AF26*0.5,0)),"")</f>
        <v>0</v>
      </c>
      <c r="AK26" s="1341"/>
      <c r="AL26" s="1345">
        <f>IFERROR(IF(OR(M29="ベア加算",M29=""),0, IF(OR(T26="新加算Ⅰ",T26="新加算Ⅱ",T26="新加算Ⅲ",T26="新加算Ⅳ"),ROUNDDOWN(ROUND(L26*VLOOKUP(K26,【参考】数式用!$A$5:$I$37,MATCH("ベア加算",【参考】数式用!$B$4:$I$4,0)+1,0),0),0)*AF26,0)),"")</f>
        <v>0</v>
      </c>
      <c r="AM26" s="1331"/>
      <c r="AN26" s="1337"/>
      <c r="AO26" s="1333"/>
      <c r="AP26" s="1333"/>
      <c r="AQ26" s="1335"/>
      <c r="AR26" s="1315"/>
      <c r="AS26" s="465" t="str">
        <f t="shared" ref="AS26" si="24">IF(AU26="","",IF(U26&lt;N26,"！加算の要件上は問題ありませんが、令和６年４・５月と比較して令和６年６月に加算率が下がる計画になっています。",""))</f>
        <v/>
      </c>
      <c r="AT26" s="554"/>
      <c r="AU26" s="1303" t="str">
        <f>IF(K26&lt;&gt;"","V列に色付け","")</f>
        <v/>
      </c>
      <c r="AV26" s="552" t="str">
        <f>IF('別紙様式2-2（４・５月分）'!N23="","",'別紙様式2-2（４・５月分）'!N23)</f>
        <v/>
      </c>
      <c r="AW26" s="1305" t="str">
        <f>IF(SUM('別紙様式2-2（４・５月分）'!O23:O25)=0,"",SUM('別紙様式2-2（４・５月分）'!O23:O25))</f>
        <v/>
      </c>
      <c r="AX26" s="1306" t="str">
        <f>IFERROR(VLOOKUP(K26,【参考】数式用!$AH$2:$AI$34,2,FALSE),"")</f>
        <v/>
      </c>
      <c r="AY26" s="1222" t="s">
        <v>1959</v>
      </c>
      <c r="AZ26" s="1222" t="s">
        <v>1960</v>
      </c>
      <c r="BA26" s="1222" t="s">
        <v>1961</v>
      </c>
      <c r="BB26" s="1222" t="s">
        <v>1962</v>
      </c>
      <c r="BC26" s="1222" t="str">
        <f>IF(AND(O26&lt;&gt;"新加算Ⅰ",O26&lt;&gt;"新加算Ⅱ",O26&lt;&gt;"新加算Ⅲ",O26&lt;&gt;"新加算Ⅳ"),O26,IF(P28&lt;&gt;"",P28,""))</f>
        <v/>
      </c>
      <c r="BD26" s="1222"/>
      <c r="BE26" s="1222" t="str">
        <f t="shared" ref="BE26" si="25">IF(AL26&lt;&gt;0,IF(AM26="○","入力済","未入力"),"")</f>
        <v/>
      </c>
      <c r="BF26" s="1222"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2" t="str">
        <f>IF(OR(T26="新加算Ⅴ（７）",T26="新加算Ⅴ（９）",T26="新加算Ⅴ（10）",T26="新加算Ⅴ（12）",T26="新加算Ⅴ（13）",T26="新加算Ⅴ（14）"),IF(OR(AO26="○",AO26="令和６年度中に満たす"),"入力済","未入力"),"")</f>
        <v/>
      </c>
      <c r="BH26" s="1323" t="str">
        <f t="shared" ref="BH26" si="26">IF(OR(T26="新加算Ⅰ",T26="新加算Ⅱ",T26="新加算Ⅲ",T26="新加算Ⅴ（１）",T26="新加算Ⅴ（３）",T26="新加算Ⅴ（８）"),IF(OR(AP26="○",AP26="令和６年度中に満たす"),"入力済","未入力"),"")</f>
        <v/>
      </c>
      <c r="BI26" s="1325" t="str">
        <f t="shared" ref="BI26" si="27">IF(OR(T26="新加算Ⅰ",T26="新加算Ⅱ",T26="新加算Ⅴ（１）",T26="新加算Ⅴ（２）",T26="新加算Ⅴ（３）",T26="新加算Ⅴ（４）",T26="新加算Ⅴ（５）",T26="新加算Ⅴ（６）",T26="新加算Ⅴ（７）",T26="新加算Ⅴ（９）",T26="新加算Ⅴ（10）",T26="新加算Ⅴ（12）"),1,"")</f>
        <v/>
      </c>
      <c r="BJ26" s="1303" t="str">
        <f>IF(OR(T26="新加算Ⅰ",T26="新加算Ⅴ（１）",T26="新加算Ⅴ（２）",T26="新加算Ⅴ（５）",T26="新加算Ⅴ（７）",T26="新加算Ⅴ（10）"),IF(AR26="","未入力","入力済"),"")</f>
        <v/>
      </c>
      <c r="BK26" s="452" t="str">
        <f>G26</f>
        <v/>
      </c>
    </row>
    <row r="27" spans="1:63" ht="15" customHeight="1">
      <c r="A27" s="1267"/>
      <c r="B27" s="1235"/>
      <c r="C27" s="1236"/>
      <c r="D27" s="1236"/>
      <c r="E27" s="1236"/>
      <c r="F27" s="1237"/>
      <c r="G27" s="1252"/>
      <c r="H27" s="1252"/>
      <c r="I27" s="1252"/>
      <c r="J27" s="1415"/>
      <c r="K27" s="1252"/>
      <c r="L27" s="1421"/>
      <c r="M27" s="1371" t="str">
        <f>IF('別紙様式2-2（４・５月分）'!P24="","",'別紙様式2-2（４・５月分）'!P24)</f>
        <v/>
      </c>
      <c r="N27" s="1392"/>
      <c r="O27" s="1398"/>
      <c r="P27" s="1399"/>
      <c r="Q27" s="1400"/>
      <c r="R27" s="1402"/>
      <c r="S27" s="1404"/>
      <c r="T27" s="1424"/>
      <c r="U27" s="1408"/>
      <c r="V27" s="1410"/>
      <c r="W27" s="1348"/>
      <c r="X27" s="1350"/>
      <c r="Y27" s="1348"/>
      <c r="Z27" s="1350"/>
      <c r="AA27" s="1348"/>
      <c r="AB27" s="1350"/>
      <c r="AC27" s="1348"/>
      <c r="AD27" s="1350"/>
      <c r="AE27" s="1350"/>
      <c r="AF27" s="1350"/>
      <c r="AG27" s="1352"/>
      <c r="AH27" s="1354"/>
      <c r="AI27" s="1356"/>
      <c r="AJ27" s="1358"/>
      <c r="AK27" s="1342"/>
      <c r="AL27" s="1346"/>
      <c r="AM27" s="1332"/>
      <c r="AN27" s="1338"/>
      <c r="AO27" s="1334"/>
      <c r="AP27" s="1334"/>
      <c r="AQ27" s="1336"/>
      <c r="AR27" s="1316"/>
      <c r="AS27" s="1302"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4"/>
      <c r="AU27" s="1303"/>
      <c r="AV27" s="1312" t="str">
        <f>IF('別紙様式2-2（４・５月分）'!N24="","",'別紙様式2-2（４・５月分）'!N24)</f>
        <v/>
      </c>
      <c r="AW27" s="1305"/>
      <c r="AX27" s="1306"/>
      <c r="AY27" s="1222"/>
      <c r="AZ27" s="1222"/>
      <c r="BA27" s="1222"/>
      <c r="BB27" s="1222"/>
      <c r="BC27" s="1222"/>
      <c r="BD27" s="1222"/>
      <c r="BE27" s="1222"/>
      <c r="BF27" s="1222"/>
      <c r="BG27" s="1222"/>
      <c r="BH27" s="1324"/>
      <c r="BI27" s="1326"/>
      <c r="BJ27" s="1303"/>
      <c r="BK27" s="452" t="str">
        <f>G26</f>
        <v/>
      </c>
    </row>
    <row r="28" spans="1:63" ht="15" customHeight="1">
      <c r="A28" s="1295"/>
      <c r="B28" s="1235"/>
      <c r="C28" s="1236"/>
      <c r="D28" s="1236"/>
      <c r="E28" s="1236"/>
      <c r="F28" s="1237"/>
      <c r="G28" s="1252"/>
      <c r="H28" s="1252"/>
      <c r="I28" s="1252"/>
      <c r="J28" s="1415"/>
      <c r="K28" s="1252"/>
      <c r="L28" s="1421"/>
      <c r="M28" s="1372"/>
      <c r="N28" s="1393"/>
      <c r="O28" s="1373" t="s">
        <v>2025</v>
      </c>
      <c r="P28" s="1425" t="str">
        <f>IFERROR(VLOOKUP('別紙様式2-2（４・５月分）'!AQ23,【参考】数式用!$AR$5:$AT$22,3,FALSE),"")</f>
        <v/>
      </c>
      <c r="Q28" s="1377" t="s">
        <v>2036</v>
      </c>
      <c r="R28" s="1379" t="str">
        <f>IFERROR(VLOOKUP(K26,【参考】数式用!$A$5:$AB$37,MATCH(P28,【参考】数式用!$B$4:$AB$4,0)+1,0),"")</f>
        <v/>
      </c>
      <c r="S28" s="1381" t="s">
        <v>161</v>
      </c>
      <c r="T28" s="1383"/>
      <c r="U28" s="1385" t="str">
        <f>IFERROR(VLOOKUP(K26,【参考】数式用!$A$5:$AB$37,MATCH(T28,【参考】数式用!$B$4:$AB$4,0)+1,0),"")</f>
        <v/>
      </c>
      <c r="V28" s="1387" t="s">
        <v>15</v>
      </c>
      <c r="W28" s="1419">
        <v>7</v>
      </c>
      <c r="X28" s="1363" t="s">
        <v>10</v>
      </c>
      <c r="Y28" s="1419">
        <v>4</v>
      </c>
      <c r="Z28" s="1363" t="s">
        <v>38</v>
      </c>
      <c r="AA28" s="1419">
        <v>8</v>
      </c>
      <c r="AB28" s="1363" t="s">
        <v>10</v>
      </c>
      <c r="AC28" s="1419">
        <v>3</v>
      </c>
      <c r="AD28" s="1363" t="s">
        <v>13</v>
      </c>
      <c r="AE28" s="1363" t="s">
        <v>20</v>
      </c>
      <c r="AF28" s="1363">
        <f>IF(W28&gt;=1,(AA28*12+AC28)-(W28*12+Y28)+1,"")</f>
        <v>12</v>
      </c>
      <c r="AG28" s="1359" t="s">
        <v>33</v>
      </c>
      <c r="AH28" s="1365" t="str">
        <f t="shared" ref="AH28" si="29">IFERROR(ROUNDDOWN(ROUND(L26*U28,0),0)*AF28,"")</f>
        <v/>
      </c>
      <c r="AI28" s="1367" t="str">
        <f t="shared" ref="AI28" si="30">IFERROR(ROUNDDOWN(ROUND((L26*(U28-AW26)),0),0)*AF28,"")</f>
        <v/>
      </c>
      <c r="AJ28" s="1369">
        <f>IFERROR(IF(OR(M26="",M27="",M29=""),0,ROUNDDOWN(ROUNDDOWN(ROUND(L26*VLOOKUP(K26,【参考】数式用!$A$5:$AB$37,MATCH("新加算Ⅳ",【参考】数式用!$B$4:$AB$4,0)+1,0),0),0)*AF28*0.5,0)),"")</f>
        <v>0</v>
      </c>
      <c r="AK28" s="1339" t="str">
        <f>IF(T28&lt;&gt;"","新規に適用","")</f>
        <v/>
      </c>
      <c r="AL28" s="1343">
        <f>IFERROR(IF(OR(M29="ベア加算",M29=""),0, IF(OR(T26="新加算Ⅰ",T26="新加算Ⅱ",T26="新加算Ⅲ",T26="新加算Ⅳ"),0,ROUNDDOWN(ROUND(L26*VLOOKUP(K26,【参考】数式用!$A$5:$I$37,MATCH("ベア加算",【参考】数式用!$B$4:$I$4,0)+1,0),0),0)*AF28)),"")</f>
        <v>0</v>
      </c>
      <c r="AM28" s="1313" t="str">
        <f>IF(AND(T28&lt;&gt;"",AM26=""),"新規に適用",IF(AND(T28&lt;&gt;"",AM26&lt;&gt;""),"継続で適用",""))</f>
        <v/>
      </c>
      <c r="AN28" s="1313" t="str">
        <f>IF(AND(T28&lt;&gt;"",AN26=""),"新規に適用",IF(AND(T28&lt;&gt;"",AN26&lt;&gt;""),"継続で適用",""))</f>
        <v/>
      </c>
      <c r="AO28" s="1361"/>
      <c r="AP28" s="1313" t="str">
        <f>IF(AND(T28&lt;&gt;"",AP26=""),"新規に適用",IF(AND(T28&lt;&gt;"",AP26&lt;&gt;""),"継続で適用",""))</f>
        <v/>
      </c>
      <c r="AQ28" s="1317"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13" t="str">
        <f>IF(AND(T28&lt;&gt;"",AR26=""),"新規に適用",IF(AND(T28&lt;&gt;"",AR26&lt;&gt;""),"継続で適用",""))</f>
        <v/>
      </c>
      <c r="AS28" s="1302"/>
      <c r="AT28" s="554"/>
      <c r="AU28" s="1303" t="str">
        <f>IF(K26&lt;&gt;"","V列に色付け","")</f>
        <v/>
      </c>
      <c r="AV28" s="1312"/>
      <c r="AW28" s="1305"/>
      <c r="AX28"/>
      <c r="AY28"/>
      <c r="AZ28"/>
      <c r="BA28"/>
      <c r="BB28"/>
      <c r="BC28"/>
      <c r="BD28"/>
      <c r="BE28"/>
      <c r="BF28"/>
      <c r="BG28"/>
      <c r="BH28"/>
      <c r="BI28"/>
      <c r="BJ28"/>
      <c r="BK28" s="452" t="str">
        <f>G26</f>
        <v/>
      </c>
    </row>
    <row r="29" spans="1:63" ht="30" customHeight="1" thickBot="1">
      <c r="A29" s="1268"/>
      <c r="B29" s="1411"/>
      <c r="C29" s="1412"/>
      <c r="D29" s="1412"/>
      <c r="E29" s="1412"/>
      <c r="F29" s="1413"/>
      <c r="G29" s="1253"/>
      <c r="H29" s="1253"/>
      <c r="I29" s="1253"/>
      <c r="J29" s="1416"/>
      <c r="K29" s="1253"/>
      <c r="L29" s="1422"/>
      <c r="M29" s="553" t="str">
        <f>IF('別紙様式2-2（４・５月分）'!P25="","",'別紙様式2-2（４・５月分）'!P25)</f>
        <v/>
      </c>
      <c r="N29" s="1394"/>
      <c r="O29" s="1374"/>
      <c r="P29" s="1426"/>
      <c r="Q29" s="1378"/>
      <c r="R29" s="1380"/>
      <c r="S29" s="1382"/>
      <c r="T29" s="1384"/>
      <c r="U29" s="1386"/>
      <c r="V29" s="1388"/>
      <c r="W29" s="1420"/>
      <c r="X29" s="1364"/>
      <c r="Y29" s="1420"/>
      <c r="Z29" s="1364"/>
      <c r="AA29" s="1420"/>
      <c r="AB29" s="1364"/>
      <c r="AC29" s="1420"/>
      <c r="AD29" s="1364"/>
      <c r="AE29" s="1364"/>
      <c r="AF29" s="1364"/>
      <c r="AG29" s="1360"/>
      <c r="AH29" s="1366"/>
      <c r="AI29" s="1368"/>
      <c r="AJ29" s="1370"/>
      <c r="AK29" s="1340"/>
      <c r="AL29" s="1344"/>
      <c r="AM29" s="1314"/>
      <c r="AN29" s="1314"/>
      <c r="AO29" s="1362"/>
      <c r="AP29" s="1314"/>
      <c r="AQ29" s="1318"/>
      <c r="AR29" s="1314"/>
      <c r="AS29" s="490"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4"/>
      <c r="AU29" s="1303"/>
      <c r="AV29" s="552" t="str">
        <f>IF('別紙様式2-2（４・５月分）'!N25="","",'別紙様式2-2（４・５月分）'!N25)</f>
        <v/>
      </c>
      <c r="AW29" s="1305"/>
      <c r="AX29"/>
      <c r="AY29"/>
      <c r="AZ29"/>
      <c r="BA29"/>
      <c r="BB29"/>
      <c r="BC29"/>
      <c r="BD29"/>
      <c r="BE29"/>
      <c r="BF29"/>
      <c r="BG29"/>
      <c r="BH29"/>
      <c r="BI29"/>
      <c r="BJ29"/>
      <c r="BK29" s="452" t="str">
        <f>G26</f>
        <v/>
      </c>
    </row>
    <row r="30" spans="1:63" ht="30" customHeight="1">
      <c r="A30" s="1266">
        <v>5</v>
      </c>
      <c r="B30" s="1232" t="str">
        <f>IF(基本情報入力シート!C58="","",基本情報入力シート!C58)</f>
        <v/>
      </c>
      <c r="C30" s="1233"/>
      <c r="D30" s="1233"/>
      <c r="E30" s="1233"/>
      <c r="F30" s="1234"/>
      <c r="G30" s="1251" t="str">
        <f>IF(基本情報入力シート!M58="","",基本情報入力シート!M58)</f>
        <v/>
      </c>
      <c r="H30" s="1251" t="str">
        <f>IF(基本情報入力シート!R58="","",基本情報入力シート!R58)</f>
        <v/>
      </c>
      <c r="I30" s="1251" t="str">
        <f>IF(基本情報入力シート!W58="","",基本情報入力シート!W58)</f>
        <v/>
      </c>
      <c r="J30" s="1414" t="str">
        <f>IF(基本情報入力シート!X58="","",基本情報入力シート!X58)</f>
        <v/>
      </c>
      <c r="K30" s="1251" t="str">
        <f>IF(基本情報入力シート!Y58="","",基本情報入力シート!Y58)</f>
        <v/>
      </c>
      <c r="L30" s="1427" t="str">
        <f>IF(基本情報入力シート!AB58="","",基本情報入力シート!AB58)</f>
        <v/>
      </c>
      <c r="M30" s="550" t="str">
        <f>IF('別紙様式2-2（４・５月分）'!P26="","",'別紙様式2-2（４・５月分）'!P26)</f>
        <v/>
      </c>
      <c r="N30" s="1391" t="str">
        <f>IF(SUM('別紙様式2-2（４・５月分）'!Q26:Q28)=0,"",SUM('別紙様式2-2（４・５月分）'!Q26:Q28))</f>
        <v/>
      </c>
      <c r="O30" s="1395" t="str">
        <f>IFERROR(VLOOKUP('別紙様式2-2（４・５月分）'!AQ26,【参考】数式用!$AR$5:$AS$22,2,FALSE),"")</f>
        <v/>
      </c>
      <c r="P30" s="1396"/>
      <c r="Q30" s="1397"/>
      <c r="R30" s="1401" t="str">
        <f>IFERROR(VLOOKUP(K30,【参考】数式用!$A$5:$AB$37,MATCH(O30,【参考】数式用!$B$4:$AB$4,0)+1,0),"")</f>
        <v/>
      </c>
      <c r="S30" s="1403" t="s">
        <v>2021</v>
      </c>
      <c r="T30" s="1423"/>
      <c r="U30" s="1407" t="str">
        <f>IFERROR(VLOOKUP(K30,【参考】数式用!$A$5:$AB$37,MATCH(T30,【参考】数式用!$B$4:$AB$4,0)+1,0),"")</f>
        <v/>
      </c>
      <c r="V30" s="1409" t="s">
        <v>15</v>
      </c>
      <c r="W30" s="1347">
        <v>6</v>
      </c>
      <c r="X30" s="1349" t="s">
        <v>10</v>
      </c>
      <c r="Y30" s="1347">
        <v>6</v>
      </c>
      <c r="Z30" s="1349" t="s">
        <v>38</v>
      </c>
      <c r="AA30" s="1347">
        <v>7</v>
      </c>
      <c r="AB30" s="1349" t="s">
        <v>10</v>
      </c>
      <c r="AC30" s="1347">
        <v>3</v>
      </c>
      <c r="AD30" s="1349" t="s">
        <v>13</v>
      </c>
      <c r="AE30" s="1349" t="s">
        <v>20</v>
      </c>
      <c r="AF30" s="1349">
        <f>IF(W30&gt;=1,(AA30*12+AC30)-(W30*12+Y30)+1,"")</f>
        <v>10</v>
      </c>
      <c r="AG30" s="1351" t="s">
        <v>33</v>
      </c>
      <c r="AH30" s="1353" t="str">
        <f t="shared" ref="AH30" si="33">IFERROR(ROUNDDOWN(ROUND(L30*U30,0),0)*AF30,"")</f>
        <v/>
      </c>
      <c r="AI30" s="1355" t="str">
        <f t="shared" ref="AI30" si="34">IFERROR(ROUNDDOWN(ROUND((L30*(U30-AW30)),0),0)*AF30,"")</f>
        <v/>
      </c>
      <c r="AJ30" s="1357">
        <f>IFERROR(IF(OR(M30="",M31="",M33=""),0,ROUNDDOWN(ROUNDDOWN(ROUND(L30*VLOOKUP(K30,【参考】数式用!$A$5:$AB$37,MATCH("新加算Ⅳ",【参考】数式用!$B$4:$AB$4,0)+1,0),0),0)*AF30*0.5,0)),"")</f>
        <v>0</v>
      </c>
      <c r="AK30" s="1341"/>
      <c r="AL30" s="1345">
        <f>IFERROR(IF(OR(M33="ベア加算",M33=""),0, IF(OR(T30="新加算Ⅰ",T30="新加算Ⅱ",T30="新加算Ⅲ",T30="新加算Ⅳ"),ROUNDDOWN(ROUND(L30*VLOOKUP(K30,【参考】数式用!$A$5:$I$37,MATCH("ベア加算",【参考】数式用!$B$4:$I$4,0)+1,0),0),0)*AF30,0)),"")</f>
        <v>0</v>
      </c>
      <c r="AM30" s="1331"/>
      <c r="AN30" s="1337"/>
      <c r="AO30" s="1333"/>
      <c r="AP30" s="1333"/>
      <c r="AQ30" s="1335"/>
      <c r="AR30" s="1315"/>
      <c r="AS30" s="465" t="str">
        <f t="shared" ref="AS30" si="35">IF(AU30="","",IF(U30&lt;N30,"！加算の要件上は問題ありませんが、令和６年４・５月と比較して令和６年６月に加算率が下がる計画になっています。",""))</f>
        <v/>
      </c>
      <c r="AT30" s="554"/>
      <c r="AU30" s="1303" t="str">
        <f>IF(K30&lt;&gt;"","V列に色付け","")</f>
        <v/>
      </c>
      <c r="AV30" s="555" t="str">
        <f>IF('別紙様式2-2（４・５月分）'!N26="","",'別紙様式2-2（４・５月分）'!N26)</f>
        <v/>
      </c>
      <c r="AW30" s="1307" t="str">
        <f>IF(SUM('別紙様式2-2（４・５月分）'!O26:O28)=0,"",SUM('別紙様式2-2（４・５月分）'!O26:O28))</f>
        <v/>
      </c>
      <c r="AX30" s="1306" t="str">
        <f>IFERROR(VLOOKUP(K30,【参考】数式用!$AH$2:$AI$34,2,FALSE),"")</f>
        <v/>
      </c>
      <c r="AY30" s="1222" t="s">
        <v>1959</v>
      </c>
      <c r="AZ30" s="1222" t="s">
        <v>1960</v>
      </c>
      <c r="BA30" s="1222" t="s">
        <v>1961</v>
      </c>
      <c r="BB30" s="1222" t="s">
        <v>1962</v>
      </c>
      <c r="BC30" s="1222" t="str">
        <f>IF(AND(O30&lt;&gt;"新加算Ⅰ",O30&lt;&gt;"新加算Ⅱ",O30&lt;&gt;"新加算Ⅲ",O30&lt;&gt;"新加算Ⅳ"),O30,IF(P32&lt;&gt;"",P32,""))</f>
        <v/>
      </c>
      <c r="BD30" s="1222"/>
      <c r="BE30" s="1222" t="str">
        <f t="shared" ref="BE30" si="36">IF(AL30&lt;&gt;0,IF(AM30="○","入力済","未入力"),"")</f>
        <v/>
      </c>
      <c r="BF30" s="1222"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2" t="str">
        <f>IF(OR(T30="新加算Ⅴ（７）",T30="新加算Ⅴ（９）",T30="新加算Ⅴ（10）",T30="新加算Ⅴ（12）",T30="新加算Ⅴ（13）",T30="新加算Ⅴ（14）"),IF(OR(AO30="○",AO30="令和６年度中に満たす"),"入力済","未入力"),"")</f>
        <v/>
      </c>
      <c r="BH30" s="1323" t="str">
        <f t="shared" ref="BH30" si="37">IF(OR(T30="新加算Ⅰ",T30="新加算Ⅱ",T30="新加算Ⅲ",T30="新加算Ⅴ（１）",T30="新加算Ⅴ（３）",T30="新加算Ⅴ（８）"),IF(OR(AP30="○",AP30="令和６年度中に満たす"),"入力済","未入力"),"")</f>
        <v/>
      </c>
      <c r="BI30" s="1325" t="str">
        <f t="shared" ref="BI30" si="38">IF(OR(T30="新加算Ⅰ",T30="新加算Ⅱ",T30="新加算Ⅴ（１）",T30="新加算Ⅴ（２）",T30="新加算Ⅴ（３）",T30="新加算Ⅴ（４）",T30="新加算Ⅴ（５）",T30="新加算Ⅴ（６）",T30="新加算Ⅴ（７）",T30="新加算Ⅴ（９）",T30="新加算Ⅴ（10）",T30="新加算Ⅴ（12）"),1,"")</f>
        <v/>
      </c>
      <c r="BJ30" s="1303" t="str">
        <f>IF(OR(T30="新加算Ⅰ",T30="新加算Ⅴ（１）",T30="新加算Ⅴ（２）",T30="新加算Ⅴ（５）",T30="新加算Ⅴ（７）",T30="新加算Ⅴ（10）"),IF(AR30="","未入力","入力済"),"")</f>
        <v/>
      </c>
      <c r="BK30" s="452" t="str">
        <f>G30</f>
        <v/>
      </c>
    </row>
    <row r="31" spans="1:63" ht="15" customHeight="1">
      <c r="A31" s="1267"/>
      <c r="B31" s="1235"/>
      <c r="C31" s="1236"/>
      <c r="D31" s="1236"/>
      <c r="E31" s="1236"/>
      <c r="F31" s="1237"/>
      <c r="G31" s="1252"/>
      <c r="H31" s="1252"/>
      <c r="I31" s="1252"/>
      <c r="J31" s="1415"/>
      <c r="K31" s="1252"/>
      <c r="L31" s="1421"/>
      <c r="M31" s="1371" t="str">
        <f>IF('別紙様式2-2（４・５月分）'!P27="","",'別紙様式2-2（４・５月分）'!P27)</f>
        <v/>
      </c>
      <c r="N31" s="1392"/>
      <c r="O31" s="1398"/>
      <c r="P31" s="1399"/>
      <c r="Q31" s="1400"/>
      <c r="R31" s="1402"/>
      <c r="S31" s="1404"/>
      <c r="T31" s="1424"/>
      <c r="U31" s="1408"/>
      <c r="V31" s="1410"/>
      <c r="W31" s="1348"/>
      <c r="X31" s="1350"/>
      <c r="Y31" s="1348"/>
      <c r="Z31" s="1350"/>
      <c r="AA31" s="1348"/>
      <c r="AB31" s="1350"/>
      <c r="AC31" s="1348"/>
      <c r="AD31" s="1350"/>
      <c r="AE31" s="1350"/>
      <c r="AF31" s="1350"/>
      <c r="AG31" s="1352"/>
      <c r="AH31" s="1354"/>
      <c r="AI31" s="1356"/>
      <c r="AJ31" s="1358"/>
      <c r="AK31" s="1342"/>
      <c r="AL31" s="1346"/>
      <c r="AM31" s="1332"/>
      <c r="AN31" s="1338"/>
      <c r="AO31" s="1334"/>
      <c r="AP31" s="1334"/>
      <c r="AQ31" s="1336"/>
      <c r="AR31" s="1316"/>
      <c r="AS31" s="1302"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4"/>
      <c r="AU31" s="1303"/>
      <c r="AV31" s="1304" t="str">
        <f>IF('別紙様式2-2（４・５月分）'!N27="","",'別紙様式2-2（４・５月分）'!N27)</f>
        <v/>
      </c>
      <c r="AW31" s="1307"/>
      <c r="AX31" s="1306"/>
      <c r="AY31" s="1222"/>
      <c r="AZ31" s="1222"/>
      <c r="BA31" s="1222"/>
      <c r="BB31" s="1222"/>
      <c r="BC31" s="1222"/>
      <c r="BD31" s="1222"/>
      <c r="BE31" s="1222"/>
      <c r="BF31" s="1222"/>
      <c r="BG31" s="1222"/>
      <c r="BH31" s="1324"/>
      <c r="BI31" s="1326"/>
      <c r="BJ31" s="1303"/>
      <c r="BK31" s="452" t="str">
        <f>G30</f>
        <v/>
      </c>
    </row>
    <row r="32" spans="1:63" ht="15" customHeight="1">
      <c r="A32" s="1295"/>
      <c r="B32" s="1235"/>
      <c r="C32" s="1236"/>
      <c r="D32" s="1236"/>
      <c r="E32" s="1236"/>
      <c r="F32" s="1237"/>
      <c r="G32" s="1252"/>
      <c r="H32" s="1252"/>
      <c r="I32" s="1252"/>
      <c r="J32" s="1415"/>
      <c r="K32" s="1252"/>
      <c r="L32" s="1421"/>
      <c r="M32" s="1372"/>
      <c r="N32" s="1393"/>
      <c r="O32" s="1373" t="s">
        <v>2025</v>
      </c>
      <c r="P32" s="1375" t="str">
        <f>IFERROR(VLOOKUP('別紙様式2-2（４・５月分）'!AQ26,【参考】数式用!$AR$5:$AT$22,3,FALSE),"")</f>
        <v/>
      </c>
      <c r="Q32" s="1377" t="s">
        <v>2036</v>
      </c>
      <c r="R32" s="1379" t="str">
        <f>IFERROR(VLOOKUP(K30,【参考】数式用!$A$5:$AB$37,MATCH(P32,【参考】数式用!$B$4:$AB$4,0)+1,0),"")</f>
        <v/>
      </c>
      <c r="S32" s="1381" t="s">
        <v>161</v>
      </c>
      <c r="T32" s="1383"/>
      <c r="U32" s="1385" t="str">
        <f>IFERROR(VLOOKUP(K30,【参考】数式用!$A$5:$AB$37,MATCH(T32,【参考】数式用!$B$4:$AB$4,0)+1,0),"")</f>
        <v/>
      </c>
      <c r="V32" s="1387" t="s">
        <v>15</v>
      </c>
      <c r="W32" s="1419">
        <v>7</v>
      </c>
      <c r="X32" s="1363" t="s">
        <v>10</v>
      </c>
      <c r="Y32" s="1419">
        <v>4</v>
      </c>
      <c r="Z32" s="1363" t="s">
        <v>38</v>
      </c>
      <c r="AA32" s="1419">
        <v>8</v>
      </c>
      <c r="AB32" s="1363" t="s">
        <v>10</v>
      </c>
      <c r="AC32" s="1419">
        <v>3</v>
      </c>
      <c r="AD32" s="1363" t="s">
        <v>13</v>
      </c>
      <c r="AE32" s="1363" t="s">
        <v>20</v>
      </c>
      <c r="AF32" s="1363">
        <f>IF(W32&gt;=1,(AA32*12+AC32)-(W32*12+Y32)+1,"")</f>
        <v>12</v>
      </c>
      <c r="AG32" s="1359" t="s">
        <v>33</v>
      </c>
      <c r="AH32" s="1365" t="str">
        <f t="shared" ref="AH32" si="40">IFERROR(ROUNDDOWN(ROUND(L30*U32,0),0)*AF32,"")</f>
        <v/>
      </c>
      <c r="AI32" s="1367" t="str">
        <f t="shared" ref="AI32" si="41">IFERROR(ROUNDDOWN(ROUND((L30*(U32-AW30)),0),0)*AF32,"")</f>
        <v/>
      </c>
      <c r="AJ32" s="1369">
        <f>IFERROR(IF(OR(M30="",M31="",M33=""),0,ROUNDDOWN(ROUNDDOWN(ROUND(L30*VLOOKUP(K30,【参考】数式用!$A$5:$AB$37,MATCH("新加算Ⅳ",【参考】数式用!$B$4:$AB$4,0)+1,0),0),0)*AF32*0.5,0)),"")</f>
        <v>0</v>
      </c>
      <c r="AK32" s="1339" t="str">
        <f>IF(T32&lt;&gt;"","新規に適用","")</f>
        <v/>
      </c>
      <c r="AL32" s="1343">
        <f>IFERROR(IF(OR(M33="ベア加算",M33=""),0, IF(OR(T30="新加算Ⅰ",T30="新加算Ⅱ",T30="新加算Ⅲ",T30="新加算Ⅳ"),0,ROUNDDOWN(ROUND(L30*VLOOKUP(K30,【参考】数式用!$A$5:$I$37,MATCH("ベア加算",【参考】数式用!$B$4:$I$4,0)+1,0),0),0)*AF32)),"")</f>
        <v>0</v>
      </c>
      <c r="AM32" s="1313" t="str">
        <f>IF(AND(T32&lt;&gt;"",AM30=""),"新規に適用",IF(AND(T32&lt;&gt;"",AM30&lt;&gt;""),"継続で適用",""))</f>
        <v/>
      </c>
      <c r="AN32" s="1313" t="str">
        <f>IF(AND(T32&lt;&gt;"",AN30=""),"新規に適用",IF(AND(T32&lt;&gt;"",AN30&lt;&gt;""),"継続で適用",""))</f>
        <v/>
      </c>
      <c r="AO32" s="1361"/>
      <c r="AP32" s="1313" t="str">
        <f>IF(AND(T32&lt;&gt;"",AP30=""),"新規に適用",IF(AND(T32&lt;&gt;"",AP30&lt;&gt;""),"継続で適用",""))</f>
        <v/>
      </c>
      <c r="AQ32" s="1317"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13" t="str">
        <f>IF(AND(T32&lt;&gt;"",AR30=""),"新規に適用",IF(AND(T32&lt;&gt;"",AR30&lt;&gt;""),"継続で適用",""))</f>
        <v/>
      </c>
      <c r="AS32" s="1302"/>
      <c r="AT32" s="554"/>
      <c r="AU32" s="1303" t="str">
        <f>IF(K30&lt;&gt;"","V列に色付け","")</f>
        <v/>
      </c>
      <c r="AV32" s="1304"/>
      <c r="AW32" s="1307"/>
      <c r="AX32"/>
      <c r="AY32"/>
      <c r="AZ32"/>
      <c r="BA32"/>
      <c r="BB32"/>
      <c r="BC32"/>
      <c r="BD32"/>
      <c r="BE32"/>
      <c r="BF32"/>
      <c r="BG32"/>
      <c r="BH32"/>
      <c r="BI32"/>
      <c r="BJ32"/>
      <c r="BK32" s="452" t="str">
        <f>G30</f>
        <v/>
      </c>
    </row>
    <row r="33" spans="1:63" ht="30" customHeight="1" thickBot="1">
      <c r="A33" s="1268"/>
      <c r="B33" s="1411"/>
      <c r="C33" s="1412"/>
      <c r="D33" s="1412"/>
      <c r="E33" s="1412"/>
      <c r="F33" s="1413"/>
      <c r="G33" s="1253"/>
      <c r="H33" s="1253"/>
      <c r="I33" s="1253"/>
      <c r="J33" s="1416"/>
      <c r="K33" s="1253"/>
      <c r="L33" s="1422"/>
      <c r="M33" s="553" t="str">
        <f>IF('別紙様式2-2（４・５月分）'!P28="","",'別紙様式2-2（４・５月分）'!P28)</f>
        <v/>
      </c>
      <c r="N33" s="1394"/>
      <c r="O33" s="1374"/>
      <c r="P33" s="1376"/>
      <c r="Q33" s="1378"/>
      <c r="R33" s="1380"/>
      <c r="S33" s="1382"/>
      <c r="T33" s="1384"/>
      <c r="U33" s="1386"/>
      <c r="V33" s="1388"/>
      <c r="W33" s="1420"/>
      <c r="X33" s="1364"/>
      <c r="Y33" s="1420"/>
      <c r="Z33" s="1364"/>
      <c r="AA33" s="1420"/>
      <c r="AB33" s="1364"/>
      <c r="AC33" s="1420"/>
      <c r="AD33" s="1364"/>
      <c r="AE33" s="1364"/>
      <c r="AF33" s="1364"/>
      <c r="AG33" s="1360"/>
      <c r="AH33" s="1366"/>
      <c r="AI33" s="1368"/>
      <c r="AJ33" s="1370"/>
      <c r="AK33" s="1340"/>
      <c r="AL33" s="1344"/>
      <c r="AM33" s="1314"/>
      <c r="AN33" s="1314"/>
      <c r="AO33" s="1362"/>
      <c r="AP33" s="1314"/>
      <c r="AQ33" s="1318"/>
      <c r="AR33" s="1314"/>
      <c r="AS33" s="490"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4"/>
      <c r="AU33" s="1303"/>
      <c r="AV33" s="555" t="str">
        <f>IF('別紙様式2-2（４・５月分）'!N28="","",'別紙様式2-2（４・５月分）'!N28)</f>
        <v/>
      </c>
      <c r="AW33" s="1308"/>
      <c r="AX33"/>
      <c r="AY33"/>
      <c r="AZ33"/>
      <c r="BA33"/>
      <c r="BB33"/>
      <c r="BC33"/>
      <c r="BD33"/>
      <c r="BE33"/>
      <c r="BF33"/>
      <c r="BG33"/>
      <c r="BH33"/>
      <c r="BI33"/>
      <c r="BJ33"/>
      <c r="BK33" s="452" t="str">
        <f>G30</f>
        <v/>
      </c>
    </row>
    <row r="34" spans="1:63" ht="30" customHeight="1">
      <c r="A34" s="1293">
        <v>6</v>
      </c>
      <c r="B34" s="1235" t="str">
        <f>IF(基本情報入力シート!C59="","",基本情報入力シート!C59)</f>
        <v/>
      </c>
      <c r="C34" s="1236"/>
      <c r="D34" s="1236"/>
      <c r="E34" s="1236"/>
      <c r="F34" s="1237"/>
      <c r="G34" s="1252" t="str">
        <f>IF(基本情報入力シート!M59="","",基本情報入力シート!M59)</f>
        <v/>
      </c>
      <c r="H34" s="1252" t="str">
        <f>IF(基本情報入力シート!R59="","",基本情報入力シート!R59)</f>
        <v/>
      </c>
      <c r="I34" s="1252" t="str">
        <f>IF(基本情報入力シート!W59="","",基本情報入力シート!W59)</f>
        <v/>
      </c>
      <c r="J34" s="1415" t="str">
        <f>IF(基本情報入力シート!X59="","",基本情報入力シート!X59)</f>
        <v/>
      </c>
      <c r="K34" s="1252" t="str">
        <f>IF(基本情報入力シート!Y59="","",基本情報入力シート!Y59)</f>
        <v/>
      </c>
      <c r="L34" s="1276" t="str">
        <f>IF(基本情報入力シート!AB59="","",基本情報入力シート!AB59)</f>
        <v/>
      </c>
      <c r="M34" s="550" t="str">
        <f>IF('別紙様式2-2（４・５月分）'!P29="","",'別紙様式2-2（４・５月分）'!P29)</f>
        <v/>
      </c>
      <c r="N34" s="1391" t="str">
        <f>IF(SUM('別紙様式2-2（４・５月分）'!Q29:Q31)=0,"",SUM('別紙様式2-2（４・５月分）'!Q29:Q31))</f>
        <v/>
      </c>
      <c r="O34" s="1395" t="str">
        <f>IFERROR(VLOOKUP('別紙様式2-2（４・５月分）'!AQ29,【参考】数式用!$AR$5:$AS$22,2,FALSE),"")</f>
        <v/>
      </c>
      <c r="P34" s="1396"/>
      <c r="Q34" s="1397"/>
      <c r="R34" s="1401" t="str">
        <f>IFERROR(VLOOKUP(K34,【参考】数式用!$A$5:$AB$37,MATCH(O34,【参考】数式用!$B$4:$AB$4,0)+1,0),"")</f>
        <v/>
      </c>
      <c r="S34" s="1403" t="s">
        <v>2021</v>
      </c>
      <c r="T34" s="1405"/>
      <c r="U34" s="1407" t="str">
        <f>IFERROR(VLOOKUP(K34,【参考】数式用!$A$5:$AB$37,MATCH(T34,【参考】数式用!$B$4:$AB$4,0)+1,0),"")</f>
        <v/>
      </c>
      <c r="V34" s="1409" t="s">
        <v>15</v>
      </c>
      <c r="W34" s="1347">
        <v>6</v>
      </c>
      <c r="X34" s="1349" t="s">
        <v>10</v>
      </c>
      <c r="Y34" s="1347">
        <v>6</v>
      </c>
      <c r="Z34" s="1349" t="s">
        <v>38</v>
      </c>
      <c r="AA34" s="1347">
        <v>7</v>
      </c>
      <c r="AB34" s="1349" t="s">
        <v>10</v>
      </c>
      <c r="AC34" s="1347">
        <v>3</v>
      </c>
      <c r="AD34" s="1349" t="s">
        <v>2020</v>
      </c>
      <c r="AE34" s="1349" t="s">
        <v>20</v>
      </c>
      <c r="AF34" s="1349">
        <f>IF(W34&gt;=1,(AA34*12+AC34)-(W34*12+Y34)+1,"")</f>
        <v>10</v>
      </c>
      <c r="AG34" s="1351" t="s">
        <v>33</v>
      </c>
      <c r="AH34" s="1353" t="str">
        <f t="shared" ref="AH34" si="44">IFERROR(ROUNDDOWN(ROUND(L34*U34,0),0)*AF34,"")</f>
        <v/>
      </c>
      <c r="AI34" s="1355" t="str">
        <f t="shared" ref="AI34" si="45">IFERROR(ROUNDDOWN(ROUND((L34*(U34-AW34)),0),0)*AF34,"")</f>
        <v/>
      </c>
      <c r="AJ34" s="1357">
        <f>IFERROR(IF(OR(M34="",M35="",M37=""),0,ROUNDDOWN(ROUNDDOWN(ROUND(L34*VLOOKUP(K34,【参考】数式用!$A$5:$AB$37,MATCH("新加算Ⅳ",【参考】数式用!$B$4:$AB$4,0)+1,0),0),0)*AF34*0.5,0)),"")</f>
        <v>0</v>
      </c>
      <c r="AK34" s="1341"/>
      <c r="AL34" s="1345">
        <f>IFERROR(IF(OR(M37="ベア加算",M37=""),0, IF(OR(T34="新加算Ⅰ",T34="新加算Ⅱ",T34="新加算Ⅲ",T34="新加算Ⅳ"),ROUNDDOWN(ROUND(L34*VLOOKUP(K34,【参考】数式用!$A$5:$I$37,MATCH("ベア加算",【参考】数式用!$B$4:$I$4,0)+1,0),0),0)*AF34,0)),"")</f>
        <v>0</v>
      </c>
      <c r="AM34" s="1331"/>
      <c r="AN34" s="1337"/>
      <c r="AO34" s="1333"/>
      <c r="AP34" s="1333"/>
      <c r="AQ34" s="1335"/>
      <c r="AR34" s="1315"/>
      <c r="AS34" s="465" t="str">
        <f t="shared" ref="AS34" si="46">IF(AU34="","",IF(U34&lt;N34,"！加算の要件上は問題ありませんが、令和６年４・５月と比較して令和６年６月に加算率が下がる計画になっています。",""))</f>
        <v/>
      </c>
      <c r="AT34" s="554"/>
      <c r="AU34" s="1303" t="str">
        <f>IF(K34&lt;&gt;"","V列に色付け","")</f>
        <v/>
      </c>
      <c r="AV34" s="555" t="str">
        <f>IF('別紙様式2-2（４・５月分）'!N29="","",'別紙様式2-2（４・５月分）'!N29)</f>
        <v/>
      </c>
      <c r="AW34" s="1309" t="str">
        <f>IF(SUM('別紙様式2-2（４・５月分）'!O29:O31)=0,"",SUM('別紙様式2-2（４・５月分）'!O29:O31))</f>
        <v/>
      </c>
      <c r="AX34" s="1306" t="str">
        <f>IFERROR(VLOOKUP(K34,【参考】数式用!$AH$2:$AI$34,2,FALSE),"")</f>
        <v/>
      </c>
      <c r="AY34" s="1222" t="s">
        <v>1959</v>
      </c>
      <c r="AZ34" s="1222" t="s">
        <v>1960</v>
      </c>
      <c r="BA34" s="1222" t="s">
        <v>1961</v>
      </c>
      <c r="BB34" s="1222" t="s">
        <v>1962</v>
      </c>
      <c r="BC34" s="1222" t="str">
        <f>IF(AND(O34&lt;&gt;"新加算Ⅰ",O34&lt;&gt;"新加算Ⅱ",O34&lt;&gt;"新加算Ⅲ",O34&lt;&gt;"新加算Ⅳ"),O34,IF(P36&lt;&gt;"",P36,""))</f>
        <v/>
      </c>
      <c r="BD34" s="1222"/>
      <c r="BE34" s="1222" t="str">
        <f t="shared" ref="BE34" si="47">IF(AL34&lt;&gt;0,IF(AM34="○","入力済","未入力"),"")</f>
        <v/>
      </c>
      <c r="BF34" s="1222"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2" t="str">
        <f>IF(OR(T34="新加算Ⅴ（７）",T34="新加算Ⅴ（９）",T34="新加算Ⅴ（10）",T34="新加算Ⅴ（12）",T34="新加算Ⅴ（13）",T34="新加算Ⅴ（14）"),IF(OR(AO34="○",AO34="令和６年度中に満たす"),"入力済","未入力"),"")</f>
        <v/>
      </c>
      <c r="BH34" s="1323" t="str">
        <f t="shared" ref="BH34" si="48">IF(OR(T34="新加算Ⅰ",T34="新加算Ⅱ",T34="新加算Ⅲ",T34="新加算Ⅴ（１）",T34="新加算Ⅴ（３）",T34="新加算Ⅴ（８）"),IF(OR(AP34="○",AP34="令和６年度中に満たす"),"入力済","未入力"),"")</f>
        <v/>
      </c>
      <c r="BI34" s="1325" t="str">
        <f t="shared" ref="BI34" si="49">IF(OR(T34="新加算Ⅰ",T34="新加算Ⅱ",T34="新加算Ⅴ（１）",T34="新加算Ⅴ（２）",T34="新加算Ⅴ（３）",T34="新加算Ⅴ（４）",T34="新加算Ⅴ（５）",T34="新加算Ⅴ（６）",T34="新加算Ⅴ（７）",T34="新加算Ⅴ（９）",T34="新加算Ⅴ（10）",T34="新加算Ⅴ（12）"),1,"")</f>
        <v/>
      </c>
      <c r="BJ34" s="1303" t="str">
        <f>IF(OR(T34="新加算Ⅰ",T34="新加算Ⅴ（１）",T34="新加算Ⅴ（２）",T34="新加算Ⅴ（５）",T34="新加算Ⅴ（７）",T34="新加算Ⅴ（10）"),IF(AR34="","未入力","入力済"),"")</f>
        <v/>
      </c>
      <c r="BK34" s="452" t="str">
        <f>G34</f>
        <v/>
      </c>
    </row>
    <row r="35" spans="1:63" ht="15" customHeight="1">
      <c r="A35" s="1267"/>
      <c r="B35" s="1235"/>
      <c r="C35" s="1236"/>
      <c r="D35" s="1236"/>
      <c r="E35" s="1236"/>
      <c r="F35" s="1237"/>
      <c r="G35" s="1252"/>
      <c r="H35" s="1252"/>
      <c r="I35" s="1252"/>
      <c r="J35" s="1415"/>
      <c r="K35" s="1252"/>
      <c r="L35" s="1276"/>
      <c r="M35" s="1371" t="str">
        <f>IF('別紙様式2-2（４・５月分）'!P30="","",'別紙様式2-2（４・５月分）'!P30)</f>
        <v/>
      </c>
      <c r="N35" s="1392"/>
      <c r="O35" s="1398"/>
      <c r="P35" s="1399"/>
      <c r="Q35" s="1400"/>
      <c r="R35" s="1402"/>
      <c r="S35" s="1404"/>
      <c r="T35" s="1406"/>
      <c r="U35" s="1408"/>
      <c r="V35" s="1410"/>
      <c r="W35" s="1348"/>
      <c r="X35" s="1350"/>
      <c r="Y35" s="1348"/>
      <c r="Z35" s="1350"/>
      <c r="AA35" s="1348"/>
      <c r="AB35" s="1350"/>
      <c r="AC35" s="1348"/>
      <c r="AD35" s="1350"/>
      <c r="AE35" s="1350"/>
      <c r="AF35" s="1350"/>
      <c r="AG35" s="1352"/>
      <c r="AH35" s="1354"/>
      <c r="AI35" s="1356"/>
      <c r="AJ35" s="1358"/>
      <c r="AK35" s="1342"/>
      <c r="AL35" s="1346"/>
      <c r="AM35" s="1332"/>
      <c r="AN35" s="1338"/>
      <c r="AO35" s="1334"/>
      <c r="AP35" s="1334"/>
      <c r="AQ35" s="1336"/>
      <c r="AR35" s="1316"/>
      <c r="AS35" s="1302"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4"/>
      <c r="AU35" s="1303"/>
      <c r="AV35" s="1304" t="str">
        <f>IF('別紙様式2-2（４・５月分）'!N30="","",'別紙様式2-2（４・５月分）'!N30)</f>
        <v/>
      </c>
      <c r="AW35" s="1307"/>
      <c r="AX35" s="1306"/>
      <c r="AY35" s="1222"/>
      <c r="AZ35" s="1222"/>
      <c r="BA35" s="1222"/>
      <c r="BB35" s="1222"/>
      <c r="BC35" s="1222"/>
      <c r="BD35" s="1222"/>
      <c r="BE35" s="1222"/>
      <c r="BF35" s="1222"/>
      <c r="BG35" s="1222"/>
      <c r="BH35" s="1324"/>
      <c r="BI35" s="1326"/>
      <c r="BJ35" s="1303"/>
      <c r="BK35" s="452" t="str">
        <f>G34</f>
        <v/>
      </c>
    </row>
    <row r="36" spans="1:63" ht="15" customHeight="1">
      <c r="A36" s="1295"/>
      <c r="B36" s="1235"/>
      <c r="C36" s="1236"/>
      <c r="D36" s="1236"/>
      <c r="E36" s="1236"/>
      <c r="F36" s="1237"/>
      <c r="G36" s="1252"/>
      <c r="H36" s="1252"/>
      <c r="I36" s="1252"/>
      <c r="J36" s="1415"/>
      <c r="K36" s="1252"/>
      <c r="L36" s="1276"/>
      <c r="M36" s="1372"/>
      <c r="N36" s="1393"/>
      <c r="O36" s="1373" t="s">
        <v>2025</v>
      </c>
      <c r="P36" s="1375" t="str">
        <f>IFERROR(VLOOKUP('別紙様式2-2（４・５月分）'!AQ29,【参考】数式用!$AR$5:$AT$22,3,FALSE),"")</f>
        <v/>
      </c>
      <c r="Q36" s="1377" t="s">
        <v>2036</v>
      </c>
      <c r="R36" s="1379" t="str">
        <f>IFERROR(VLOOKUP(K34,【参考】数式用!$A$5:$AB$37,MATCH(P36,【参考】数式用!$B$4:$AB$4,0)+1,0),"")</f>
        <v/>
      </c>
      <c r="S36" s="1381" t="s">
        <v>161</v>
      </c>
      <c r="T36" s="1383"/>
      <c r="U36" s="1385" t="str">
        <f>IFERROR(VLOOKUP(K34,【参考】数式用!$A$5:$AB$37,MATCH(T36,【参考】数式用!$B$4:$AB$4,0)+1,0),"")</f>
        <v/>
      </c>
      <c r="V36" s="1387" t="s">
        <v>15</v>
      </c>
      <c r="W36" s="1419">
        <v>7</v>
      </c>
      <c r="X36" s="1363" t="s">
        <v>10</v>
      </c>
      <c r="Y36" s="1419">
        <v>4</v>
      </c>
      <c r="Z36" s="1363" t="s">
        <v>38</v>
      </c>
      <c r="AA36" s="1419">
        <v>8</v>
      </c>
      <c r="AB36" s="1363" t="s">
        <v>10</v>
      </c>
      <c r="AC36" s="1419">
        <v>3</v>
      </c>
      <c r="AD36" s="1363" t="s">
        <v>2020</v>
      </c>
      <c r="AE36" s="1363" t="s">
        <v>20</v>
      </c>
      <c r="AF36" s="1363">
        <f>IF(W36&gt;=1,(AA36*12+AC36)-(W36*12+Y36)+1,"")</f>
        <v>12</v>
      </c>
      <c r="AG36" s="1359" t="s">
        <v>33</v>
      </c>
      <c r="AH36" s="1365" t="str">
        <f t="shared" ref="AH36" si="51">IFERROR(ROUNDDOWN(ROUND(L34*U36,0),0)*AF36,"")</f>
        <v/>
      </c>
      <c r="AI36" s="1367" t="str">
        <f t="shared" ref="AI36" si="52">IFERROR(ROUNDDOWN(ROUND((L34*(U36-AW34)),0),0)*AF36,"")</f>
        <v/>
      </c>
      <c r="AJ36" s="1369">
        <f>IFERROR(IF(OR(M34="",M35="",M37=""),0,ROUNDDOWN(ROUNDDOWN(ROUND(L34*VLOOKUP(K34,【参考】数式用!$A$5:$AB$37,MATCH("新加算Ⅳ",【参考】数式用!$B$4:$AB$4,0)+1,0),0),0)*AF36*0.5,0)),"")</f>
        <v>0</v>
      </c>
      <c r="AK36" s="1339" t="str">
        <f t="shared" ref="AK36" si="53">IF(T36&lt;&gt;"","新規に適用","")</f>
        <v/>
      </c>
      <c r="AL36" s="1343">
        <f>IFERROR(IF(OR(M37="ベア加算",M37=""),0, IF(OR(T34="新加算Ⅰ",T34="新加算Ⅱ",T34="新加算Ⅲ",T34="新加算Ⅳ"),0,ROUNDDOWN(ROUND(L34*VLOOKUP(K34,【参考】数式用!$A$5:$I$37,MATCH("ベア加算",【参考】数式用!$B$4:$I$4,0)+1,0),0),0)*AF36)),"")</f>
        <v>0</v>
      </c>
      <c r="AM36" s="1313" t="str">
        <f>IF(AND(T36&lt;&gt;"",AM34=""),"新規に適用",IF(AND(T36&lt;&gt;"",AM34&lt;&gt;""),"継続で適用",""))</f>
        <v/>
      </c>
      <c r="AN36" s="1313" t="str">
        <f>IF(AND(T36&lt;&gt;"",AN34=""),"新規に適用",IF(AND(T36&lt;&gt;"",AN34&lt;&gt;""),"継続で適用",""))</f>
        <v/>
      </c>
      <c r="AO36" s="1361"/>
      <c r="AP36" s="1313" t="str">
        <f>IF(AND(T36&lt;&gt;"",AP34=""),"新規に適用",IF(AND(T36&lt;&gt;"",AP34&lt;&gt;""),"継続で適用",""))</f>
        <v/>
      </c>
      <c r="AQ36" s="1317"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13" t="str">
        <f>IF(AND(T36&lt;&gt;"",AR34=""),"新規に適用",IF(AND(T36&lt;&gt;"",AR34&lt;&gt;""),"継続で適用",""))</f>
        <v/>
      </c>
      <c r="AS36" s="1302"/>
      <c r="AT36" s="554"/>
      <c r="AU36" s="1303" t="str">
        <f>IF(K34&lt;&gt;"","V列に色付け","")</f>
        <v/>
      </c>
      <c r="AV36" s="1304"/>
      <c r="AW36" s="1307"/>
      <c r="AX36"/>
      <c r="AY36"/>
      <c r="AZ36"/>
      <c r="BA36"/>
      <c r="BB36"/>
      <c r="BC36"/>
      <c r="BD36"/>
      <c r="BE36"/>
      <c r="BF36"/>
      <c r="BG36"/>
      <c r="BH36"/>
      <c r="BI36"/>
      <c r="BJ36"/>
      <c r="BK36" s="452" t="str">
        <f>G34</f>
        <v/>
      </c>
    </row>
    <row r="37" spans="1:63" ht="30" customHeight="1" thickBot="1">
      <c r="A37" s="1268"/>
      <c r="B37" s="1411"/>
      <c r="C37" s="1459"/>
      <c r="D37" s="1412"/>
      <c r="E37" s="1412"/>
      <c r="F37" s="1413"/>
      <c r="G37" s="1253"/>
      <c r="H37" s="1253"/>
      <c r="I37" s="1253"/>
      <c r="J37" s="1416"/>
      <c r="K37" s="1253"/>
      <c r="L37" s="1277"/>
      <c r="M37" s="553" t="str">
        <f>IF('別紙様式2-2（４・５月分）'!P31="","",'別紙様式2-2（４・５月分）'!P31)</f>
        <v/>
      </c>
      <c r="N37" s="1394"/>
      <c r="O37" s="1374"/>
      <c r="P37" s="1376"/>
      <c r="Q37" s="1378"/>
      <c r="R37" s="1380"/>
      <c r="S37" s="1382"/>
      <c r="T37" s="1384"/>
      <c r="U37" s="1386"/>
      <c r="V37" s="1388"/>
      <c r="W37" s="1420"/>
      <c r="X37" s="1364"/>
      <c r="Y37" s="1420"/>
      <c r="Z37" s="1364"/>
      <c r="AA37" s="1420"/>
      <c r="AB37" s="1364"/>
      <c r="AC37" s="1420"/>
      <c r="AD37" s="1364"/>
      <c r="AE37" s="1364"/>
      <c r="AF37" s="1364"/>
      <c r="AG37" s="1360"/>
      <c r="AH37" s="1366"/>
      <c r="AI37" s="1368"/>
      <c r="AJ37" s="1370"/>
      <c r="AK37" s="1340"/>
      <c r="AL37" s="1344"/>
      <c r="AM37" s="1314"/>
      <c r="AN37" s="1314"/>
      <c r="AO37" s="1362"/>
      <c r="AP37" s="1314"/>
      <c r="AQ37" s="1318"/>
      <c r="AR37" s="1314"/>
      <c r="AS37" s="490"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4"/>
      <c r="AU37" s="1303"/>
      <c r="AV37" s="555" t="str">
        <f>IF('別紙様式2-2（４・５月分）'!N31="","",'別紙様式2-2（４・５月分）'!N31)</f>
        <v/>
      </c>
      <c r="AW37" s="1308"/>
      <c r="AX37"/>
      <c r="AY37"/>
      <c r="AZ37"/>
      <c r="BA37"/>
      <c r="BB37"/>
      <c r="BC37"/>
      <c r="BD37"/>
      <c r="BE37"/>
      <c r="BF37"/>
      <c r="BG37"/>
      <c r="BH37"/>
      <c r="BI37"/>
      <c r="BJ37"/>
      <c r="BK37" s="452" t="str">
        <f>G34</f>
        <v/>
      </c>
    </row>
    <row r="38" spans="1:63" ht="30" customHeight="1">
      <c r="A38" s="1266">
        <v>7</v>
      </c>
      <c r="B38" s="1232" t="str">
        <f>IF(基本情報入力シート!C60="","",基本情報入力シート!C60)</f>
        <v/>
      </c>
      <c r="C38" s="1233"/>
      <c r="D38" s="1233"/>
      <c r="E38" s="1233"/>
      <c r="F38" s="1234"/>
      <c r="G38" s="1251" t="str">
        <f>IF(基本情報入力シート!M60="","",基本情報入力シート!M60)</f>
        <v/>
      </c>
      <c r="H38" s="1251" t="str">
        <f>IF(基本情報入力シート!R60="","",基本情報入力シート!R60)</f>
        <v/>
      </c>
      <c r="I38" s="1251" t="str">
        <f>IF(基本情報入力シート!W60="","",基本情報入力シート!W60)</f>
        <v/>
      </c>
      <c r="J38" s="1414" t="str">
        <f>IF(基本情報入力シート!X60="","",基本情報入力シート!X60)</f>
        <v/>
      </c>
      <c r="K38" s="1251" t="str">
        <f>IF(基本情報入力シート!Y60="","",基本情報入力シート!Y60)</f>
        <v/>
      </c>
      <c r="L38" s="1275" t="str">
        <f>IF(基本情報入力シート!AB60="","",基本情報入力シート!AB60)</f>
        <v/>
      </c>
      <c r="M38" s="550" t="str">
        <f>IF('別紙様式2-2（４・５月分）'!P32="","",'別紙様式2-2（４・５月分）'!P32)</f>
        <v/>
      </c>
      <c r="N38" s="1391" t="str">
        <f>IF(SUM('別紙様式2-2（４・５月分）'!Q32:Q34)=0,"",SUM('別紙様式2-2（４・５月分）'!Q32:Q34))</f>
        <v/>
      </c>
      <c r="O38" s="1395" t="str">
        <f>IFERROR(VLOOKUP('別紙様式2-2（４・５月分）'!AQ32,【参考】数式用!$AR$5:$AS$22,2,FALSE),"")</f>
        <v/>
      </c>
      <c r="P38" s="1396"/>
      <c r="Q38" s="1397"/>
      <c r="R38" s="1401" t="str">
        <f>IFERROR(VLOOKUP(K38,【参考】数式用!$A$5:$AB$37,MATCH(O38,【参考】数式用!$B$4:$AB$4,0)+1,0),"")</f>
        <v/>
      </c>
      <c r="S38" s="1403" t="s">
        <v>2021</v>
      </c>
      <c r="T38" s="1405"/>
      <c r="U38" s="1407" t="str">
        <f>IFERROR(VLOOKUP(K38,【参考】数式用!$A$5:$AB$37,MATCH(T38,【参考】数式用!$B$4:$AB$4,0)+1,0),"")</f>
        <v/>
      </c>
      <c r="V38" s="1409" t="s">
        <v>15</v>
      </c>
      <c r="W38" s="1347">
        <v>6</v>
      </c>
      <c r="X38" s="1349" t="s">
        <v>10</v>
      </c>
      <c r="Y38" s="1347">
        <v>6</v>
      </c>
      <c r="Z38" s="1349" t="s">
        <v>38</v>
      </c>
      <c r="AA38" s="1347">
        <v>7</v>
      </c>
      <c r="AB38" s="1349" t="s">
        <v>10</v>
      </c>
      <c r="AC38" s="1347">
        <v>3</v>
      </c>
      <c r="AD38" s="1349" t="s">
        <v>13</v>
      </c>
      <c r="AE38" s="1349" t="s">
        <v>20</v>
      </c>
      <c r="AF38" s="1349">
        <f>IF(W38&gt;=1,(AA38*12+AC38)-(W38*12+Y38)+1,"")</f>
        <v>10</v>
      </c>
      <c r="AG38" s="1351" t="s">
        <v>33</v>
      </c>
      <c r="AH38" s="1353" t="str">
        <f t="shared" ref="AH38" si="56">IFERROR(ROUNDDOWN(ROUND(L38*U38,0),0)*AF38,"")</f>
        <v/>
      </c>
      <c r="AI38" s="1355" t="str">
        <f t="shared" ref="AI38" si="57">IFERROR(ROUNDDOWN(ROUND((L38*(U38-AW38)),0),0)*AF38,"")</f>
        <v/>
      </c>
      <c r="AJ38" s="1357">
        <f>IFERROR(IF(OR(M38="",M39="",M41=""),0,ROUNDDOWN(ROUNDDOWN(ROUND(L38*VLOOKUP(K38,【参考】数式用!$A$5:$AB$37,MATCH("新加算Ⅳ",【参考】数式用!$B$4:$AB$4,0)+1,0),0),0)*AF38*0.5,0)),"")</f>
        <v>0</v>
      </c>
      <c r="AK38" s="1341"/>
      <c r="AL38" s="1345">
        <f>IFERROR(IF(OR(M41="ベア加算",M41=""),0, IF(OR(T38="新加算Ⅰ",T38="新加算Ⅱ",T38="新加算Ⅲ",T38="新加算Ⅳ"),ROUNDDOWN(ROUND(L38*VLOOKUP(K38,【参考】数式用!$A$5:$I$37,MATCH("ベア加算",【参考】数式用!$B$4:$I$4,0)+1,0),0),0)*AF38,0)),"")</f>
        <v>0</v>
      </c>
      <c r="AM38" s="1331"/>
      <c r="AN38" s="1337"/>
      <c r="AO38" s="1333"/>
      <c r="AP38" s="1333"/>
      <c r="AQ38" s="1335"/>
      <c r="AR38" s="1315"/>
      <c r="AS38" s="465" t="str">
        <f t="shared" ref="AS38" si="58">IF(AU38="","",IF(U38&lt;N38,"！加算の要件上は問題ありませんが、令和６年４・５月と比較して令和６年６月に加算率が下がる計画になっています。",""))</f>
        <v/>
      </c>
      <c r="AT38" s="554"/>
      <c r="AU38" s="1303" t="str">
        <f>IF(K38&lt;&gt;"","V列に色付け","")</f>
        <v/>
      </c>
      <c r="AV38" s="555" t="str">
        <f>IF('別紙様式2-2（４・５月分）'!N32="","",'別紙様式2-2（４・５月分）'!N32)</f>
        <v/>
      </c>
      <c r="AW38" s="1305" t="str">
        <f>IF(SUM('別紙様式2-2（４・５月分）'!O32:O34)=0,"",SUM('別紙様式2-2（４・５月分）'!O32:O34))</f>
        <v/>
      </c>
      <c r="AX38" s="1306" t="str">
        <f>IFERROR(VLOOKUP(K38,【参考】数式用!$AH$2:$AI$34,2,FALSE),"")</f>
        <v/>
      </c>
      <c r="AY38" s="1222" t="s">
        <v>1959</v>
      </c>
      <c r="AZ38" s="1222" t="s">
        <v>1960</v>
      </c>
      <c r="BA38" s="1222" t="s">
        <v>1961</v>
      </c>
      <c r="BB38" s="1222" t="s">
        <v>1962</v>
      </c>
      <c r="BC38" s="1222" t="str">
        <f>IF(AND(O38&lt;&gt;"新加算Ⅰ",O38&lt;&gt;"新加算Ⅱ",O38&lt;&gt;"新加算Ⅲ",O38&lt;&gt;"新加算Ⅳ"),O38,IF(P40&lt;&gt;"",P40,""))</f>
        <v/>
      </c>
      <c r="BD38" s="1222"/>
      <c r="BE38" s="1222" t="str">
        <f t="shared" ref="BE38" si="59">IF(AL38&lt;&gt;0,IF(AM38="○","入力済","未入力"),"")</f>
        <v/>
      </c>
      <c r="BF38" s="1222"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2" t="str">
        <f>IF(OR(T38="新加算Ⅴ（７）",T38="新加算Ⅴ（９）",T38="新加算Ⅴ（10）",T38="新加算Ⅴ（12）",T38="新加算Ⅴ（13）",T38="新加算Ⅴ（14）"),IF(OR(AO38="○",AO38="令和６年度中に満たす"),"入力済","未入力"),"")</f>
        <v/>
      </c>
      <c r="BH38" s="1323" t="str">
        <f t="shared" ref="BH38" si="60">IF(OR(T38="新加算Ⅰ",T38="新加算Ⅱ",T38="新加算Ⅲ",T38="新加算Ⅴ（１）",T38="新加算Ⅴ（３）",T38="新加算Ⅴ（８）"),IF(OR(AP38="○",AP38="令和６年度中に満たす"),"入力済","未入力"),"")</f>
        <v/>
      </c>
      <c r="BI38" s="1325" t="str">
        <f t="shared" ref="BI38" si="61">IF(OR(T38="新加算Ⅰ",T38="新加算Ⅱ",T38="新加算Ⅴ（１）",T38="新加算Ⅴ（２）",T38="新加算Ⅴ（３）",T38="新加算Ⅴ（４）",T38="新加算Ⅴ（５）",T38="新加算Ⅴ（６）",T38="新加算Ⅴ（７）",T38="新加算Ⅴ（９）",T38="新加算Ⅴ（10）",T38="新加算Ⅴ（12）"),1,"")</f>
        <v/>
      </c>
      <c r="BJ38" s="1303" t="str">
        <f>IF(OR(T38="新加算Ⅰ",T38="新加算Ⅴ（１）",T38="新加算Ⅴ（２）",T38="新加算Ⅴ（５）",T38="新加算Ⅴ（７）",T38="新加算Ⅴ（10）"),IF(AR38="","未入力","入力済"),"")</f>
        <v/>
      </c>
      <c r="BK38" s="452" t="str">
        <f>G38</f>
        <v/>
      </c>
    </row>
    <row r="39" spans="1:63" ht="15" customHeight="1">
      <c r="A39" s="1267"/>
      <c r="B39" s="1235"/>
      <c r="C39" s="1236"/>
      <c r="D39" s="1236"/>
      <c r="E39" s="1236"/>
      <c r="F39" s="1237"/>
      <c r="G39" s="1252"/>
      <c r="H39" s="1252"/>
      <c r="I39" s="1252"/>
      <c r="J39" s="1415"/>
      <c r="K39" s="1252"/>
      <c r="L39" s="1276"/>
      <c r="M39" s="1371" t="str">
        <f>IF('別紙様式2-2（４・５月分）'!P33="","",'別紙様式2-2（４・５月分）'!P33)</f>
        <v/>
      </c>
      <c r="N39" s="1392"/>
      <c r="O39" s="1398"/>
      <c r="P39" s="1399"/>
      <c r="Q39" s="1400"/>
      <c r="R39" s="1402"/>
      <c r="S39" s="1404"/>
      <c r="T39" s="1406"/>
      <c r="U39" s="1408"/>
      <c r="V39" s="1410"/>
      <c r="W39" s="1348"/>
      <c r="X39" s="1350"/>
      <c r="Y39" s="1348"/>
      <c r="Z39" s="1350"/>
      <c r="AA39" s="1348"/>
      <c r="AB39" s="1350"/>
      <c r="AC39" s="1348"/>
      <c r="AD39" s="1350"/>
      <c r="AE39" s="1350"/>
      <c r="AF39" s="1350"/>
      <c r="AG39" s="1352"/>
      <c r="AH39" s="1354"/>
      <c r="AI39" s="1356"/>
      <c r="AJ39" s="1358"/>
      <c r="AK39" s="1342"/>
      <c r="AL39" s="1346"/>
      <c r="AM39" s="1332"/>
      <c r="AN39" s="1338"/>
      <c r="AO39" s="1334"/>
      <c r="AP39" s="1334"/>
      <c r="AQ39" s="1336"/>
      <c r="AR39" s="1316"/>
      <c r="AS39" s="1302"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4"/>
      <c r="AU39" s="1303"/>
      <c r="AV39" s="1304" t="str">
        <f>IF('別紙様式2-2（４・５月分）'!N33="","",'別紙様式2-2（４・５月分）'!N33)</f>
        <v/>
      </c>
      <c r="AW39" s="1305"/>
      <c r="AX39" s="1306"/>
      <c r="AY39" s="1222"/>
      <c r="AZ39" s="1222"/>
      <c r="BA39" s="1222"/>
      <c r="BB39" s="1222"/>
      <c r="BC39" s="1222"/>
      <c r="BD39" s="1222"/>
      <c r="BE39" s="1222"/>
      <c r="BF39" s="1222"/>
      <c r="BG39" s="1222"/>
      <c r="BH39" s="1324"/>
      <c r="BI39" s="1326"/>
      <c r="BJ39" s="1303"/>
      <c r="BK39" s="452" t="str">
        <f>G38</f>
        <v/>
      </c>
    </row>
    <row r="40" spans="1:63" ht="15" customHeight="1">
      <c r="A40" s="1295"/>
      <c r="B40" s="1235"/>
      <c r="C40" s="1236"/>
      <c r="D40" s="1236"/>
      <c r="E40" s="1236"/>
      <c r="F40" s="1237"/>
      <c r="G40" s="1252"/>
      <c r="H40" s="1252"/>
      <c r="I40" s="1252"/>
      <c r="J40" s="1415"/>
      <c r="K40" s="1252"/>
      <c r="L40" s="1276"/>
      <c r="M40" s="1372"/>
      <c r="N40" s="1393"/>
      <c r="O40" s="1373" t="s">
        <v>2025</v>
      </c>
      <c r="P40" s="1375" t="str">
        <f>IFERROR(VLOOKUP('別紙様式2-2（４・５月分）'!AQ32,【参考】数式用!$AR$5:$AT$22,3,FALSE),"")</f>
        <v/>
      </c>
      <c r="Q40" s="1377" t="s">
        <v>2036</v>
      </c>
      <c r="R40" s="1379" t="str">
        <f>IFERROR(VLOOKUP(K38,【参考】数式用!$A$5:$AB$37,MATCH(P40,【参考】数式用!$B$4:$AB$4,0)+1,0),"")</f>
        <v/>
      </c>
      <c r="S40" s="1381" t="s">
        <v>161</v>
      </c>
      <c r="T40" s="1383"/>
      <c r="U40" s="1385" t="str">
        <f>IFERROR(VLOOKUP(K38,【参考】数式用!$A$5:$AB$37,MATCH(T40,【参考】数式用!$B$4:$AB$4,0)+1,0),"")</f>
        <v/>
      </c>
      <c r="V40" s="1387" t="s">
        <v>15</v>
      </c>
      <c r="W40" s="1389">
        <v>7</v>
      </c>
      <c r="X40" s="1363" t="s">
        <v>10</v>
      </c>
      <c r="Y40" s="1389">
        <v>4</v>
      </c>
      <c r="Z40" s="1363" t="s">
        <v>38</v>
      </c>
      <c r="AA40" s="1389">
        <v>8</v>
      </c>
      <c r="AB40" s="1363" t="s">
        <v>10</v>
      </c>
      <c r="AC40" s="1389">
        <v>3</v>
      </c>
      <c r="AD40" s="1363" t="s">
        <v>13</v>
      </c>
      <c r="AE40" s="1363" t="s">
        <v>20</v>
      </c>
      <c r="AF40" s="1363">
        <f>IF(W40&gt;=1,(AA40*12+AC40)-(W40*12+Y40)+1,"")</f>
        <v>12</v>
      </c>
      <c r="AG40" s="1359" t="s">
        <v>33</v>
      </c>
      <c r="AH40" s="1365" t="str">
        <f t="shared" ref="AH40" si="63">IFERROR(ROUNDDOWN(ROUND(L38*U40,0),0)*AF40,"")</f>
        <v/>
      </c>
      <c r="AI40" s="1367" t="str">
        <f t="shared" ref="AI40" si="64">IFERROR(ROUNDDOWN(ROUND((L38*(U40-AW38)),0),0)*AF40,"")</f>
        <v/>
      </c>
      <c r="AJ40" s="1369">
        <f>IFERROR(IF(OR(M38="",M39="",M41=""),0,ROUNDDOWN(ROUNDDOWN(ROUND(L38*VLOOKUP(K38,【参考】数式用!$A$5:$AB$37,MATCH("新加算Ⅳ",【参考】数式用!$B$4:$AB$4,0)+1,0),0),0)*AF40*0.5,0)),"")</f>
        <v>0</v>
      </c>
      <c r="AK40" s="1339" t="str">
        <f t="shared" ref="AK40" si="65">IF(T40&lt;&gt;"","新規に適用","")</f>
        <v/>
      </c>
      <c r="AL40" s="1343">
        <f>IFERROR(IF(OR(M41="ベア加算",M41=""),0, IF(OR(T38="新加算Ⅰ",T38="新加算Ⅱ",T38="新加算Ⅲ",T38="新加算Ⅳ"),0,ROUNDDOWN(ROUND(L38*VLOOKUP(K38,【参考】数式用!$A$5:$I$37,MATCH("ベア加算",【参考】数式用!$B$4:$I$4,0)+1,0),0),0)*AF40)),"")</f>
        <v>0</v>
      </c>
      <c r="AM40" s="1313" t="str">
        <f>IF(AND(T40&lt;&gt;"",AM38=""),"新規に適用",IF(AND(T40&lt;&gt;"",AM38&lt;&gt;""),"継続で適用",""))</f>
        <v/>
      </c>
      <c r="AN40" s="1313" t="str">
        <f>IF(AND(T40&lt;&gt;"",AN38=""),"新規に適用",IF(AND(T40&lt;&gt;"",AN38&lt;&gt;""),"継続で適用",""))</f>
        <v/>
      </c>
      <c r="AO40" s="1361"/>
      <c r="AP40" s="1313" t="str">
        <f>IF(AND(T40&lt;&gt;"",AP38=""),"新規に適用",IF(AND(T40&lt;&gt;"",AP38&lt;&gt;""),"継続で適用",""))</f>
        <v/>
      </c>
      <c r="AQ40" s="1317"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13" t="str">
        <f>IF(AND(T40&lt;&gt;"",AR38=""),"新規に適用",IF(AND(T40&lt;&gt;"",AR38&lt;&gt;""),"継続で適用",""))</f>
        <v/>
      </c>
      <c r="AS40" s="1302"/>
      <c r="AT40" s="554"/>
      <c r="AU40" s="1303" t="str">
        <f>IF(K38&lt;&gt;"","V列に色付け","")</f>
        <v/>
      </c>
      <c r="AV40" s="1304"/>
      <c r="AW40" s="1305"/>
      <c r="AX40"/>
      <c r="AY40"/>
      <c r="AZ40"/>
      <c r="BA40"/>
      <c r="BB40"/>
      <c r="BC40"/>
      <c r="BD40"/>
      <c r="BE40"/>
      <c r="BF40"/>
      <c r="BG40"/>
      <c r="BH40"/>
      <c r="BI40"/>
      <c r="BJ40"/>
      <c r="BK40" s="452" t="str">
        <f>G38</f>
        <v/>
      </c>
    </row>
    <row r="41" spans="1:63" ht="30" customHeight="1" thickBot="1">
      <c r="A41" s="1268"/>
      <c r="B41" s="1411"/>
      <c r="C41" s="1412"/>
      <c r="D41" s="1412"/>
      <c r="E41" s="1412"/>
      <c r="F41" s="1413"/>
      <c r="G41" s="1253"/>
      <c r="H41" s="1253"/>
      <c r="I41" s="1253"/>
      <c r="J41" s="1416"/>
      <c r="K41" s="1253"/>
      <c r="L41" s="1277"/>
      <c r="M41" s="553" t="str">
        <f>IF('別紙様式2-2（４・５月分）'!P34="","",'別紙様式2-2（４・５月分）'!P34)</f>
        <v/>
      </c>
      <c r="N41" s="1394"/>
      <c r="O41" s="1374"/>
      <c r="P41" s="1376"/>
      <c r="Q41" s="1378"/>
      <c r="R41" s="1380"/>
      <c r="S41" s="1382"/>
      <c r="T41" s="1384"/>
      <c r="U41" s="1386"/>
      <c r="V41" s="1388"/>
      <c r="W41" s="1390"/>
      <c r="X41" s="1364"/>
      <c r="Y41" s="1390"/>
      <c r="Z41" s="1364"/>
      <c r="AA41" s="1390"/>
      <c r="AB41" s="1364"/>
      <c r="AC41" s="1390"/>
      <c r="AD41" s="1364"/>
      <c r="AE41" s="1364"/>
      <c r="AF41" s="1364"/>
      <c r="AG41" s="1360"/>
      <c r="AH41" s="1366"/>
      <c r="AI41" s="1368"/>
      <c r="AJ41" s="1370"/>
      <c r="AK41" s="1340"/>
      <c r="AL41" s="1344"/>
      <c r="AM41" s="1314"/>
      <c r="AN41" s="1314"/>
      <c r="AO41" s="1362"/>
      <c r="AP41" s="1314"/>
      <c r="AQ41" s="1318"/>
      <c r="AR41" s="1314"/>
      <c r="AS41" s="490"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4"/>
      <c r="AU41" s="1303"/>
      <c r="AV41" s="555" t="str">
        <f>IF('別紙様式2-2（４・５月分）'!N34="","",'別紙様式2-2（４・５月分）'!N34)</f>
        <v/>
      </c>
      <c r="AW41" s="1305"/>
      <c r="AX41"/>
      <c r="AY41"/>
      <c r="AZ41"/>
      <c r="BA41"/>
      <c r="BB41"/>
      <c r="BC41"/>
      <c r="BD41"/>
      <c r="BE41"/>
      <c r="BF41"/>
      <c r="BG41"/>
      <c r="BH41"/>
      <c r="BI41"/>
      <c r="BJ41"/>
      <c r="BK41" s="452" t="str">
        <f>G38</f>
        <v/>
      </c>
    </row>
    <row r="42" spans="1:63" ht="30" customHeight="1">
      <c r="A42" s="1293">
        <v>8</v>
      </c>
      <c r="B42" s="1235" t="str">
        <f>IF(基本情報入力シート!C61="","",基本情報入力シート!C61)</f>
        <v/>
      </c>
      <c r="C42" s="1236"/>
      <c r="D42" s="1236"/>
      <c r="E42" s="1236"/>
      <c r="F42" s="1237"/>
      <c r="G42" s="1252" t="str">
        <f>IF(基本情報入力シート!M61="","",基本情報入力シート!M61)</f>
        <v/>
      </c>
      <c r="H42" s="1252" t="str">
        <f>IF(基本情報入力シート!R61="","",基本情報入力シート!R61)</f>
        <v/>
      </c>
      <c r="I42" s="1252" t="str">
        <f>IF(基本情報入力シート!W61="","",基本情報入力シート!W61)</f>
        <v/>
      </c>
      <c r="J42" s="1415" t="str">
        <f>IF(基本情報入力シート!X61="","",基本情報入力シート!X61)</f>
        <v/>
      </c>
      <c r="K42" s="1252" t="str">
        <f>IF(基本情報入力シート!Y61="","",基本情報入力シート!Y61)</f>
        <v/>
      </c>
      <c r="L42" s="1276" t="str">
        <f>IF(基本情報入力シート!AB61="","",基本情報入力シート!AB61)</f>
        <v/>
      </c>
      <c r="M42" s="550" t="str">
        <f>IF('別紙様式2-2（４・５月分）'!P35="","",'別紙様式2-2（４・５月分）'!P35)</f>
        <v/>
      </c>
      <c r="N42" s="1391" t="str">
        <f>IF(SUM('別紙様式2-2（４・５月分）'!Q35:Q37)=0,"",SUM('別紙様式2-2（４・５月分）'!Q35:Q37))</f>
        <v/>
      </c>
      <c r="O42" s="1395" t="str">
        <f>IFERROR(VLOOKUP('別紙様式2-2（４・５月分）'!AQ35,【参考】数式用!$AR$5:$AS$22,2,FALSE),"")</f>
        <v/>
      </c>
      <c r="P42" s="1396"/>
      <c r="Q42" s="1397"/>
      <c r="R42" s="1401" t="str">
        <f>IFERROR(VLOOKUP(K42,【参考】数式用!$A$5:$AB$37,MATCH(O42,【参考】数式用!$B$4:$AB$4,0)+1,0),"")</f>
        <v/>
      </c>
      <c r="S42" s="1403" t="s">
        <v>2021</v>
      </c>
      <c r="T42" s="1405"/>
      <c r="U42" s="1407" t="str">
        <f>IFERROR(VLOOKUP(K42,【参考】数式用!$A$5:$AB$37,MATCH(T42,【参考】数式用!$B$4:$AB$4,0)+1,0),"")</f>
        <v/>
      </c>
      <c r="V42" s="1409" t="s">
        <v>15</v>
      </c>
      <c r="W42" s="1347">
        <v>6</v>
      </c>
      <c r="X42" s="1349" t="s">
        <v>10</v>
      </c>
      <c r="Y42" s="1347">
        <v>6</v>
      </c>
      <c r="Z42" s="1349" t="s">
        <v>38</v>
      </c>
      <c r="AA42" s="1347">
        <v>7</v>
      </c>
      <c r="AB42" s="1349" t="s">
        <v>10</v>
      </c>
      <c r="AC42" s="1347">
        <v>3</v>
      </c>
      <c r="AD42" s="1349" t="s">
        <v>13</v>
      </c>
      <c r="AE42" s="1349" t="s">
        <v>20</v>
      </c>
      <c r="AF42" s="1349">
        <f>IF(W42&gt;=1,(AA42*12+AC42)-(W42*12+Y42)+1,"")</f>
        <v>10</v>
      </c>
      <c r="AG42" s="1351" t="s">
        <v>33</v>
      </c>
      <c r="AH42" s="1353" t="str">
        <f t="shared" ref="AH42" si="68">IFERROR(ROUNDDOWN(ROUND(L42*U42,0),0)*AF42,"")</f>
        <v/>
      </c>
      <c r="AI42" s="1355" t="str">
        <f t="shared" ref="AI42" si="69">IFERROR(ROUNDDOWN(ROUND((L42*(U42-AW42)),0),0)*AF42,"")</f>
        <v/>
      </c>
      <c r="AJ42" s="1357">
        <f>IFERROR(IF(OR(M42="",M43="",M45=""),0,ROUNDDOWN(ROUNDDOWN(ROUND(L42*VLOOKUP(K42,【参考】数式用!$A$5:$AB$37,MATCH("新加算Ⅳ",【参考】数式用!$B$4:$AB$4,0)+1,0),0),0)*AF42*0.5,0)),"")</f>
        <v>0</v>
      </c>
      <c r="AK42" s="1341"/>
      <c r="AL42" s="1345">
        <f>IFERROR(IF(OR(M45="ベア加算",M45=""),0, IF(OR(T42="新加算Ⅰ",T42="新加算Ⅱ",T42="新加算Ⅲ",T42="新加算Ⅳ"),ROUNDDOWN(ROUND(L42*VLOOKUP(K42,【参考】数式用!$A$5:$I$37,MATCH("ベア加算",【参考】数式用!$B$4:$I$4,0)+1,0),0),0)*AF42,0)),"")</f>
        <v>0</v>
      </c>
      <c r="AM42" s="1331"/>
      <c r="AN42" s="1337"/>
      <c r="AO42" s="1333"/>
      <c r="AP42" s="1333"/>
      <c r="AQ42" s="1335"/>
      <c r="AR42" s="1315"/>
      <c r="AS42" s="465" t="str">
        <f t="shared" ref="AS42" si="70">IF(AU42="","",IF(U42&lt;N42,"！加算の要件上は問題ありませんが、令和６年４・５月と比較して令和６年６月に加算率が下がる計画になっています。",""))</f>
        <v/>
      </c>
      <c r="AT42" s="554"/>
      <c r="AU42" s="1303" t="str">
        <f>IF(K42&lt;&gt;"","V列に色付け","")</f>
        <v/>
      </c>
      <c r="AV42" s="555" t="str">
        <f>IF('別紙様式2-2（４・５月分）'!N35="","",'別紙様式2-2（４・５月分）'!N35)</f>
        <v/>
      </c>
      <c r="AW42" s="1305" t="str">
        <f>IF(SUM('別紙様式2-2（４・５月分）'!O35:O37)=0,"",SUM('別紙様式2-2（４・５月分）'!O35:O37))</f>
        <v/>
      </c>
      <c r="AX42" s="1306" t="str">
        <f>IFERROR(VLOOKUP(K42,【参考】数式用!$AH$2:$AI$34,2,FALSE),"")</f>
        <v/>
      </c>
      <c r="AY42" s="1222" t="s">
        <v>1959</v>
      </c>
      <c r="AZ42" s="1222" t="s">
        <v>1960</v>
      </c>
      <c r="BA42" s="1222" t="s">
        <v>1961</v>
      </c>
      <c r="BB42" s="1222" t="s">
        <v>1962</v>
      </c>
      <c r="BC42" s="1222" t="str">
        <f>IF(AND(O42&lt;&gt;"新加算Ⅰ",O42&lt;&gt;"新加算Ⅱ",O42&lt;&gt;"新加算Ⅲ",O42&lt;&gt;"新加算Ⅳ"),O42,IF(P44&lt;&gt;"",P44,""))</f>
        <v/>
      </c>
      <c r="BD42" s="1222"/>
      <c r="BE42" s="1222" t="str">
        <f t="shared" ref="BE42" si="71">IF(AL42&lt;&gt;0,IF(AM42="○","入力済","未入力"),"")</f>
        <v/>
      </c>
      <c r="BF42" s="1222"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2" t="str">
        <f>IF(OR(T42="新加算Ⅴ（７）",T42="新加算Ⅴ（９）",T42="新加算Ⅴ（10）",T42="新加算Ⅴ（12）",T42="新加算Ⅴ（13）",T42="新加算Ⅴ（14）"),IF(OR(AO42="○",AO42="令和６年度中に満たす"),"入力済","未入力"),"")</f>
        <v/>
      </c>
      <c r="BH42" s="1323" t="str">
        <f t="shared" ref="BH42" si="72">IF(OR(T42="新加算Ⅰ",T42="新加算Ⅱ",T42="新加算Ⅲ",T42="新加算Ⅴ（１）",T42="新加算Ⅴ（３）",T42="新加算Ⅴ（８）"),IF(OR(AP42="○",AP42="令和６年度中に満たす"),"入力済","未入力"),"")</f>
        <v/>
      </c>
      <c r="BI42" s="1325" t="str">
        <f t="shared" ref="BI42" si="73">IF(OR(T42="新加算Ⅰ",T42="新加算Ⅱ",T42="新加算Ⅴ（１）",T42="新加算Ⅴ（２）",T42="新加算Ⅴ（３）",T42="新加算Ⅴ（４）",T42="新加算Ⅴ（５）",T42="新加算Ⅴ（６）",T42="新加算Ⅴ（７）",T42="新加算Ⅴ（９）",T42="新加算Ⅴ（10）",T42="新加算Ⅴ（12）"),1,"")</f>
        <v/>
      </c>
      <c r="BJ42" s="1303" t="str">
        <f>IF(OR(T42="新加算Ⅰ",T42="新加算Ⅴ（１）",T42="新加算Ⅴ（２）",T42="新加算Ⅴ（５）",T42="新加算Ⅴ（７）",T42="新加算Ⅴ（10）"),IF(AR42="","未入力","入力済"),"")</f>
        <v/>
      </c>
      <c r="BK42" s="452" t="str">
        <f>G42</f>
        <v/>
      </c>
    </row>
    <row r="43" spans="1:63" ht="15" customHeight="1">
      <c r="A43" s="1267"/>
      <c r="B43" s="1235"/>
      <c r="C43" s="1236"/>
      <c r="D43" s="1236"/>
      <c r="E43" s="1236"/>
      <c r="F43" s="1237"/>
      <c r="G43" s="1252"/>
      <c r="H43" s="1252"/>
      <c r="I43" s="1252"/>
      <c r="J43" s="1415"/>
      <c r="K43" s="1252"/>
      <c r="L43" s="1276"/>
      <c r="M43" s="1371" t="str">
        <f>IF('別紙様式2-2（４・５月分）'!P36="","",'別紙様式2-2（４・５月分）'!P36)</f>
        <v/>
      </c>
      <c r="N43" s="1392"/>
      <c r="O43" s="1398"/>
      <c r="P43" s="1399"/>
      <c r="Q43" s="1400"/>
      <c r="R43" s="1402"/>
      <c r="S43" s="1404"/>
      <c r="T43" s="1406"/>
      <c r="U43" s="1408"/>
      <c r="V43" s="1410"/>
      <c r="W43" s="1348"/>
      <c r="X43" s="1350"/>
      <c r="Y43" s="1348"/>
      <c r="Z43" s="1350"/>
      <c r="AA43" s="1348"/>
      <c r="AB43" s="1350"/>
      <c r="AC43" s="1348"/>
      <c r="AD43" s="1350"/>
      <c r="AE43" s="1350"/>
      <c r="AF43" s="1350"/>
      <c r="AG43" s="1352"/>
      <c r="AH43" s="1354"/>
      <c r="AI43" s="1356"/>
      <c r="AJ43" s="1358"/>
      <c r="AK43" s="1342"/>
      <c r="AL43" s="1346"/>
      <c r="AM43" s="1332"/>
      <c r="AN43" s="1338"/>
      <c r="AO43" s="1334"/>
      <c r="AP43" s="1334"/>
      <c r="AQ43" s="1336"/>
      <c r="AR43" s="1316"/>
      <c r="AS43" s="1302"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4"/>
      <c r="AU43" s="1303"/>
      <c r="AV43" s="1304" t="str">
        <f>IF('別紙様式2-2（４・５月分）'!N36="","",'別紙様式2-2（４・５月分）'!N36)</f>
        <v/>
      </c>
      <c r="AW43" s="1305"/>
      <c r="AX43" s="1306"/>
      <c r="AY43" s="1222"/>
      <c r="AZ43" s="1222"/>
      <c r="BA43" s="1222"/>
      <c r="BB43" s="1222"/>
      <c r="BC43" s="1222"/>
      <c r="BD43" s="1222"/>
      <c r="BE43" s="1222"/>
      <c r="BF43" s="1222"/>
      <c r="BG43" s="1222"/>
      <c r="BH43" s="1324"/>
      <c r="BI43" s="1326"/>
      <c r="BJ43" s="1303"/>
      <c r="BK43" s="452" t="str">
        <f>G42</f>
        <v/>
      </c>
    </row>
    <row r="44" spans="1:63" ht="15" customHeight="1">
      <c r="A44" s="1295"/>
      <c r="B44" s="1235"/>
      <c r="C44" s="1236"/>
      <c r="D44" s="1236"/>
      <c r="E44" s="1236"/>
      <c r="F44" s="1237"/>
      <c r="G44" s="1252"/>
      <c r="H44" s="1252"/>
      <c r="I44" s="1252"/>
      <c r="J44" s="1415"/>
      <c r="K44" s="1252"/>
      <c r="L44" s="1276"/>
      <c r="M44" s="1372"/>
      <c r="N44" s="1393"/>
      <c r="O44" s="1373" t="s">
        <v>2025</v>
      </c>
      <c r="P44" s="1375" t="str">
        <f>IFERROR(VLOOKUP('別紙様式2-2（４・５月分）'!AQ35,【参考】数式用!$AR$5:$AT$22,3,FALSE),"")</f>
        <v/>
      </c>
      <c r="Q44" s="1377" t="s">
        <v>2036</v>
      </c>
      <c r="R44" s="1379" t="str">
        <f>IFERROR(VLOOKUP(K42,【参考】数式用!$A$5:$AB$37,MATCH(P44,【参考】数式用!$B$4:$AB$4,0)+1,0),"")</f>
        <v/>
      </c>
      <c r="S44" s="1381" t="s">
        <v>161</v>
      </c>
      <c r="T44" s="1383"/>
      <c r="U44" s="1385" t="str">
        <f>IFERROR(VLOOKUP(K42,【参考】数式用!$A$5:$AB$37,MATCH(T44,【参考】数式用!$B$4:$AB$4,0)+1,0),"")</f>
        <v/>
      </c>
      <c r="V44" s="1387" t="s">
        <v>15</v>
      </c>
      <c r="W44" s="1389">
        <v>7</v>
      </c>
      <c r="X44" s="1363" t="s">
        <v>10</v>
      </c>
      <c r="Y44" s="1389">
        <v>4</v>
      </c>
      <c r="Z44" s="1363" t="s">
        <v>38</v>
      </c>
      <c r="AA44" s="1389">
        <v>8</v>
      </c>
      <c r="AB44" s="1363" t="s">
        <v>10</v>
      </c>
      <c r="AC44" s="1389">
        <v>3</v>
      </c>
      <c r="AD44" s="1363" t="s">
        <v>13</v>
      </c>
      <c r="AE44" s="1363" t="s">
        <v>20</v>
      </c>
      <c r="AF44" s="1363">
        <f>IF(W44&gt;=1,(AA44*12+AC44)-(W44*12+Y44)+1,"")</f>
        <v>12</v>
      </c>
      <c r="AG44" s="1359" t="s">
        <v>33</v>
      </c>
      <c r="AH44" s="1365" t="str">
        <f t="shared" ref="AH44" si="75">IFERROR(ROUNDDOWN(ROUND(L42*U44,0),0)*AF44,"")</f>
        <v/>
      </c>
      <c r="AI44" s="1367" t="str">
        <f t="shared" ref="AI44" si="76">IFERROR(ROUNDDOWN(ROUND((L42*(U44-AW42)),0),0)*AF44,"")</f>
        <v/>
      </c>
      <c r="AJ44" s="1369">
        <f>IFERROR(IF(OR(M42="",M43="",M45=""),0,ROUNDDOWN(ROUNDDOWN(ROUND(L42*VLOOKUP(K42,【参考】数式用!$A$5:$AB$37,MATCH("新加算Ⅳ",【参考】数式用!$B$4:$AB$4,0)+1,0),0),0)*AF44*0.5,0)),"")</f>
        <v>0</v>
      </c>
      <c r="AK44" s="1339" t="str">
        <f t="shared" ref="AK44" si="77">IF(T44&lt;&gt;"","新規に適用","")</f>
        <v/>
      </c>
      <c r="AL44" s="1343">
        <f>IFERROR(IF(OR(M45="ベア加算",M45=""),0, IF(OR(T42="新加算Ⅰ",T42="新加算Ⅱ",T42="新加算Ⅲ",T42="新加算Ⅳ"),0,ROUNDDOWN(ROUND(L42*VLOOKUP(K42,【参考】数式用!$A$5:$I$37,MATCH("ベア加算",【参考】数式用!$B$4:$I$4,0)+1,0),0),0)*AF44)),"")</f>
        <v>0</v>
      </c>
      <c r="AM44" s="1313" t="str">
        <f>IF(AND(T44&lt;&gt;"",AM42=""),"新規に適用",IF(AND(T44&lt;&gt;"",AM42&lt;&gt;""),"継続で適用",""))</f>
        <v/>
      </c>
      <c r="AN44" s="1313" t="str">
        <f>IF(AND(T44&lt;&gt;"",AN42=""),"新規に適用",IF(AND(T44&lt;&gt;"",AN42&lt;&gt;""),"継続で適用",""))</f>
        <v/>
      </c>
      <c r="AO44" s="1361"/>
      <c r="AP44" s="1313" t="str">
        <f>IF(AND(T44&lt;&gt;"",AP42=""),"新規に適用",IF(AND(T44&lt;&gt;"",AP42&lt;&gt;""),"継続で適用",""))</f>
        <v/>
      </c>
      <c r="AQ44" s="1317" t="str">
        <f t="shared" si="66"/>
        <v/>
      </c>
      <c r="AR44" s="1313" t="str">
        <f>IF(AND(T44&lt;&gt;"",AR42=""),"新規に適用",IF(AND(T44&lt;&gt;"",AR42&lt;&gt;""),"継続で適用",""))</f>
        <v/>
      </c>
      <c r="AS44" s="1302"/>
      <c r="AT44" s="554"/>
      <c r="AU44" s="1303" t="str">
        <f>IF(K42&lt;&gt;"","V列に色付け","")</f>
        <v/>
      </c>
      <c r="AV44" s="1304"/>
      <c r="AW44" s="1305"/>
      <c r="AX44"/>
      <c r="AY44"/>
      <c r="AZ44"/>
      <c r="BA44"/>
      <c r="BB44"/>
      <c r="BC44"/>
      <c r="BD44"/>
      <c r="BE44"/>
      <c r="BF44"/>
      <c r="BG44"/>
      <c r="BH44"/>
      <c r="BI44"/>
      <c r="BJ44"/>
      <c r="BK44" s="452" t="str">
        <f>G42</f>
        <v/>
      </c>
    </row>
    <row r="45" spans="1:63" ht="30" customHeight="1" thickBot="1">
      <c r="A45" s="1268"/>
      <c r="B45" s="1411"/>
      <c r="C45" s="1412"/>
      <c r="D45" s="1412"/>
      <c r="E45" s="1412"/>
      <c r="F45" s="1413"/>
      <c r="G45" s="1253"/>
      <c r="H45" s="1253"/>
      <c r="I45" s="1253"/>
      <c r="J45" s="1416"/>
      <c r="K45" s="1253"/>
      <c r="L45" s="1277"/>
      <c r="M45" s="553" t="str">
        <f>IF('別紙様式2-2（４・５月分）'!P37="","",'別紙様式2-2（４・５月分）'!P37)</f>
        <v/>
      </c>
      <c r="N45" s="1394"/>
      <c r="O45" s="1374"/>
      <c r="P45" s="1376"/>
      <c r="Q45" s="1378"/>
      <c r="R45" s="1380"/>
      <c r="S45" s="1382"/>
      <c r="T45" s="1384"/>
      <c r="U45" s="1386"/>
      <c r="V45" s="1388"/>
      <c r="W45" s="1390"/>
      <c r="X45" s="1364"/>
      <c r="Y45" s="1390"/>
      <c r="Z45" s="1364"/>
      <c r="AA45" s="1390"/>
      <c r="AB45" s="1364"/>
      <c r="AC45" s="1390"/>
      <c r="AD45" s="1364"/>
      <c r="AE45" s="1364"/>
      <c r="AF45" s="1364"/>
      <c r="AG45" s="1360"/>
      <c r="AH45" s="1366"/>
      <c r="AI45" s="1368"/>
      <c r="AJ45" s="1370"/>
      <c r="AK45" s="1340"/>
      <c r="AL45" s="1344"/>
      <c r="AM45" s="1314"/>
      <c r="AN45" s="1314"/>
      <c r="AO45" s="1362"/>
      <c r="AP45" s="1314"/>
      <c r="AQ45" s="1318"/>
      <c r="AR45" s="1314"/>
      <c r="AS45" s="490"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4"/>
      <c r="AU45" s="1303"/>
      <c r="AV45" s="555" t="str">
        <f>IF('別紙様式2-2（４・５月分）'!N37="","",'別紙様式2-2（４・５月分）'!N37)</f>
        <v/>
      </c>
      <c r="AW45" s="1305"/>
      <c r="AX45"/>
      <c r="AY45"/>
      <c r="AZ45"/>
      <c r="BA45"/>
      <c r="BB45"/>
      <c r="BC45"/>
      <c r="BD45"/>
      <c r="BE45"/>
      <c r="BF45"/>
      <c r="BG45"/>
      <c r="BH45"/>
      <c r="BI45"/>
      <c r="BJ45"/>
      <c r="BK45" s="452" t="str">
        <f>G42</f>
        <v/>
      </c>
    </row>
    <row r="46" spans="1:63" ht="30" customHeight="1">
      <c r="A46" s="1266">
        <v>9</v>
      </c>
      <c r="B46" s="1232" t="str">
        <f>IF(基本情報入力シート!C62="","",基本情報入力シート!C62)</f>
        <v/>
      </c>
      <c r="C46" s="1233"/>
      <c r="D46" s="1233"/>
      <c r="E46" s="1233"/>
      <c r="F46" s="1234"/>
      <c r="G46" s="1251" t="str">
        <f>IF(基本情報入力シート!M62="","",基本情報入力シート!M62)</f>
        <v/>
      </c>
      <c r="H46" s="1251" t="str">
        <f>IF(基本情報入力シート!R62="","",基本情報入力シート!R62)</f>
        <v/>
      </c>
      <c r="I46" s="1251" t="str">
        <f>IF(基本情報入力シート!W62="","",基本情報入力シート!W62)</f>
        <v/>
      </c>
      <c r="J46" s="1414" t="str">
        <f>IF(基本情報入力シート!X62="","",基本情報入力シート!X62)</f>
        <v/>
      </c>
      <c r="K46" s="1251" t="str">
        <f>IF(基本情報入力シート!Y62="","",基本情報入力シート!Y62)</f>
        <v/>
      </c>
      <c r="L46" s="1275" t="str">
        <f>IF(基本情報入力シート!AB62="","",基本情報入力シート!AB62)</f>
        <v/>
      </c>
      <c r="M46" s="550" t="str">
        <f>IF('別紙様式2-2（４・５月分）'!P38="","",'別紙様式2-2（４・５月分）'!P38)</f>
        <v/>
      </c>
      <c r="N46" s="1391" t="str">
        <f>IF(SUM('別紙様式2-2（４・５月分）'!Q38:Q40)=0,"",SUM('別紙様式2-2（４・５月分）'!Q38:Q40))</f>
        <v/>
      </c>
      <c r="O46" s="1395" t="str">
        <f>IFERROR(VLOOKUP('別紙様式2-2（４・５月分）'!AQ38,【参考】数式用!$AR$5:$AS$22,2,FALSE),"")</f>
        <v/>
      </c>
      <c r="P46" s="1396"/>
      <c r="Q46" s="1397"/>
      <c r="R46" s="1401" t="str">
        <f>IFERROR(VLOOKUP(K46,【参考】数式用!$A$5:$AB$37,MATCH(O46,【参考】数式用!$B$4:$AB$4,0)+1,0),"")</f>
        <v/>
      </c>
      <c r="S46" s="1403" t="s">
        <v>2021</v>
      </c>
      <c r="T46" s="1405"/>
      <c r="U46" s="1407" t="str">
        <f>IFERROR(VLOOKUP(K46,【参考】数式用!$A$5:$AB$37,MATCH(T46,【参考】数式用!$B$4:$AB$4,0)+1,0),"")</f>
        <v/>
      </c>
      <c r="V46" s="1409" t="s">
        <v>15</v>
      </c>
      <c r="W46" s="1347">
        <v>6</v>
      </c>
      <c r="X46" s="1349" t="s">
        <v>10</v>
      </c>
      <c r="Y46" s="1347">
        <v>6</v>
      </c>
      <c r="Z46" s="1349" t="s">
        <v>38</v>
      </c>
      <c r="AA46" s="1347">
        <v>7</v>
      </c>
      <c r="AB46" s="1349" t="s">
        <v>10</v>
      </c>
      <c r="AC46" s="1347">
        <v>3</v>
      </c>
      <c r="AD46" s="1349" t="s">
        <v>13</v>
      </c>
      <c r="AE46" s="1349" t="s">
        <v>20</v>
      </c>
      <c r="AF46" s="1349">
        <f>IF(W46&gt;=1,(AA46*12+AC46)-(W46*12+Y46)+1,"")</f>
        <v>10</v>
      </c>
      <c r="AG46" s="1351" t="s">
        <v>33</v>
      </c>
      <c r="AH46" s="1353" t="str">
        <f t="shared" ref="AH46" si="79">IFERROR(ROUNDDOWN(ROUND(L46*U46,0),0)*AF46,"")</f>
        <v/>
      </c>
      <c r="AI46" s="1355" t="str">
        <f t="shared" ref="AI46" si="80">IFERROR(ROUNDDOWN(ROUND((L46*(U46-AW46)),0),0)*AF46,"")</f>
        <v/>
      </c>
      <c r="AJ46" s="1357">
        <f>IFERROR(IF(OR(M46="",M47="",M49=""),0,ROUNDDOWN(ROUNDDOWN(ROUND(L46*VLOOKUP(K46,【参考】数式用!$A$5:$AB$37,MATCH("新加算Ⅳ",【参考】数式用!$B$4:$AB$4,0)+1,0),0),0)*AF46*0.5,0)),"")</f>
        <v>0</v>
      </c>
      <c r="AK46" s="1341"/>
      <c r="AL46" s="1345">
        <f>IFERROR(IF(OR(M49="ベア加算",M49=""),0, IF(OR(T46="新加算Ⅰ",T46="新加算Ⅱ",T46="新加算Ⅲ",T46="新加算Ⅳ"),ROUNDDOWN(ROUND(L46*VLOOKUP(K46,【参考】数式用!$A$5:$I$37,MATCH("ベア加算",【参考】数式用!$B$4:$I$4,0)+1,0),0),0)*AF46,0)),"")</f>
        <v>0</v>
      </c>
      <c r="AM46" s="1331"/>
      <c r="AN46" s="1337"/>
      <c r="AO46" s="1333"/>
      <c r="AP46" s="1333"/>
      <c r="AQ46" s="1335"/>
      <c r="AR46" s="1315"/>
      <c r="AS46" s="465" t="str">
        <f t="shared" ref="AS46" si="81">IF(AU46="","",IF(U46&lt;N46,"！加算の要件上は問題ありませんが、令和６年４・５月と比較して令和６年６月に加算率が下がる計画になっています。",""))</f>
        <v/>
      </c>
      <c r="AT46" s="554"/>
      <c r="AU46" s="1303" t="str">
        <f>IF(K46&lt;&gt;"","V列に色付け","")</f>
        <v/>
      </c>
      <c r="AV46" s="555" t="str">
        <f>IF('別紙様式2-2（４・５月分）'!N38="","",'別紙様式2-2（４・５月分）'!N38)</f>
        <v/>
      </c>
      <c r="AW46" s="1305" t="str">
        <f>IF(SUM('別紙様式2-2（４・５月分）'!O38:O40)=0,"",SUM('別紙様式2-2（４・５月分）'!O38:O40))</f>
        <v/>
      </c>
      <c r="AX46" s="1306" t="str">
        <f>IFERROR(VLOOKUP(K46,【参考】数式用!$AH$2:$AI$34,2,FALSE),"")</f>
        <v/>
      </c>
      <c r="AY46" s="1222" t="s">
        <v>1959</v>
      </c>
      <c r="AZ46" s="1222" t="s">
        <v>1960</v>
      </c>
      <c r="BA46" s="1222" t="s">
        <v>1961</v>
      </c>
      <c r="BB46" s="1222" t="s">
        <v>1962</v>
      </c>
      <c r="BC46" s="1222" t="str">
        <f>IF(AND(O46&lt;&gt;"新加算Ⅰ",O46&lt;&gt;"新加算Ⅱ",O46&lt;&gt;"新加算Ⅲ",O46&lt;&gt;"新加算Ⅳ"),O46,IF(P48&lt;&gt;"",P48,""))</f>
        <v/>
      </c>
      <c r="BD46" s="1222"/>
      <c r="BE46" s="1222" t="str">
        <f t="shared" ref="BE46" si="82">IF(AL46&lt;&gt;0,IF(AM46="○","入力済","未入力"),"")</f>
        <v/>
      </c>
      <c r="BF46" s="1222"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2" t="str">
        <f>IF(OR(T46="新加算Ⅴ（７）",T46="新加算Ⅴ（９）",T46="新加算Ⅴ（10）",T46="新加算Ⅴ（12）",T46="新加算Ⅴ（13）",T46="新加算Ⅴ（14）"),IF(OR(AO46="○",AO46="令和６年度中に満たす"),"入力済","未入力"),"")</f>
        <v/>
      </c>
      <c r="BH46" s="1323" t="str">
        <f t="shared" ref="BH46" si="83">IF(OR(T46="新加算Ⅰ",T46="新加算Ⅱ",T46="新加算Ⅲ",T46="新加算Ⅴ（１）",T46="新加算Ⅴ（３）",T46="新加算Ⅴ（８）"),IF(OR(AP46="○",AP46="令和６年度中に満たす"),"入力済","未入力"),"")</f>
        <v/>
      </c>
      <c r="BI46" s="1325" t="str">
        <f t="shared" ref="BI46" si="84">IF(OR(T46="新加算Ⅰ",T46="新加算Ⅱ",T46="新加算Ⅴ（１）",T46="新加算Ⅴ（２）",T46="新加算Ⅴ（３）",T46="新加算Ⅴ（４）",T46="新加算Ⅴ（５）",T46="新加算Ⅴ（６）",T46="新加算Ⅴ（７）",T46="新加算Ⅴ（９）",T46="新加算Ⅴ（10）",T46="新加算Ⅴ（12）"),1,"")</f>
        <v/>
      </c>
      <c r="BJ46" s="1303" t="str">
        <f>IF(OR(T46="新加算Ⅰ",T46="新加算Ⅴ（１）",T46="新加算Ⅴ（２）",T46="新加算Ⅴ（５）",T46="新加算Ⅴ（７）",T46="新加算Ⅴ（10）"),IF(AR46="","未入力","入力済"),"")</f>
        <v/>
      </c>
      <c r="BK46" s="452" t="str">
        <f>G46</f>
        <v/>
      </c>
    </row>
    <row r="47" spans="1:63" ht="15" customHeight="1">
      <c r="A47" s="1267"/>
      <c r="B47" s="1235"/>
      <c r="C47" s="1236"/>
      <c r="D47" s="1236"/>
      <c r="E47" s="1236"/>
      <c r="F47" s="1237"/>
      <c r="G47" s="1252"/>
      <c r="H47" s="1252"/>
      <c r="I47" s="1252"/>
      <c r="J47" s="1415"/>
      <c r="K47" s="1252"/>
      <c r="L47" s="1276"/>
      <c r="M47" s="1371" t="str">
        <f>IF('別紙様式2-2（４・５月分）'!P39="","",'別紙様式2-2（４・５月分）'!P39)</f>
        <v/>
      </c>
      <c r="N47" s="1392"/>
      <c r="O47" s="1398"/>
      <c r="P47" s="1399"/>
      <c r="Q47" s="1400"/>
      <c r="R47" s="1402"/>
      <c r="S47" s="1404"/>
      <c r="T47" s="1406"/>
      <c r="U47" s="1408"/>
      <c r="V47" s="1410"/>
      <c r="W47" s="1348"/>
      <c r="X47" s="1350"/>
      <c r="Y47" s="1348"/>
      <c r="Z47" s="1350"/>
      <c r="AA47" s="1348"/>
      <c r="AB47" s="1350"/>
      <c r="AC47" s="1348"/>
      <c r="AD47" s="1350"/>
      <c r="AE47" s="1350"/>
      <c r="AF47" s="1350"/>
      <c r="AG47" s="1352"/>
      <c r="AH47" s="1354"/>
      <c r="AI47" s="1356"/>
      <c r="AJ47" s="1358"/>
      <c r="AK47" s="1342"/>
      <c r="AL47" s="1346"/>
      <c r="AM47" s="1332"/>
      <c r="AN47" s="1338"/>
      <c r="AO47" s="1334"/>
      <c r="AP47" s="1334"/>
      <c r="AQ47" s="1336"/>
      <c r="AR47" s="1316"/>
      <c r="AS47" s="1302"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4"/>
      <c r="AU47" s="1303"/>
      <c r="AV47" s="1304" t="str">
        <f>IF('別紙様式2-2（４・５月分）'!N39="","",'別紙様式2-2（４・５月分）'!N39)</f>
        <v/>
      </c>
      <c r="AW47" s="1305"/>
      <c r="AX47" s="1306"/>
      <c r="AY47" s="1222"/>
      <c r="AZ47" s="1222"/>
      <c r="BA47" s="1222"/>
      <c r="BB47" s="1222"/>
      <c r="BC47" s="1222"/>
      <c r="BD47" s="1222"/>
      <c r="BE47" s="1222"/>
      <c r="BF47" s="1222"/>
      <c r="BG47" s="1222"/>
      <c r="BH47" s="1324"/>
      <c r="BI47" s="1326"/>
      <c r="BJ47" s="1303"/>
      <c r="BK47" s="452" t="str">
        <f>G46</f>
        <v/>
      </c>
    </row>
    <row r="48" spans="1:63" ht="15" customHeight="1">
      <c r="A48" s="1295"/>
      <c r="B48" s="1235"/>
      <c r="C48" s="1236"/>
      <c r="D48" s="1236"/>
      <c r="E48" s="1236"/>
      <c r="F48" s="1237"/>
      <c r="G48" s="1252"/>
      <c r="H48" s="1252"/>
      <c r="I48" s="1252"/>
      <c r="J48" s="1415"/>
      <c r="K48" s="1252"/>
      <c r="L48" s="1276"/>
      <c r="M48" s="1372"/>
      <c r="N48" s="1393"/>
      <c r="O48" s="1373" t="s">
        <v>2025</v>
      </c>
      <c r="P48" s="1375" t="str">
        <f>IFERROR(VLOOKUP('別紙様式2-2（４・５月分）'!AQ38,【参考】数式用!$AR$5:$AT$22,3,FALSE),"")</f>
        <v/>
      </c>
      <c r="Q48" s="1377" t="s">
        <v>2036</v>
      </c>
      <c r="R48" s="1379" t="str">
        <f>IFERROR(VLOOKUP(K46,【参考】数式用!$A$5:$AB$37,MATCH(P48,【参考】数式用!$B$4:$AB$4,0)+1,0),"")</f>
        <v/>
      </c>
      <c r="S48" s="1381" t="s">
        <v>161</v>
      </c>
      <c r="T48" s="1383"/>
      <c r="U48" s="1385" t="str">
        <f>IFERROR(VLOOKUP(K46,【参考】数式用!$A$5:$AB$37,MATCH(T48,【参考】数式用!$B$4:$AB$4,0)+1,0),"")</f>
        <v/>
      </c>
      <c r="V48" s="1387" t="s">
        <v>15</v>
      </c>
      <c r="W48" s="1389">
        <v>7</v>
      </c>
      <c r="X48" s="1363" t="s">
        <v>10</v>
      </c>
      <c r="Y48" s="1389">
        <v>4</v>
      </c>
      <c r="Z48" s="1363" t="s">
        <v>38</v>
      </c>
      <c r="AA48" s="1389">
        <v>8</v>
      </c>
      <c r="AB48" s="1363" t="s">
        <v>10</v>
      </c>
      <c r="AC48" s="1389">
        <v>3</v>
      </c>
      <c r="AD48" s="1363" t="s">
        <v>13</v>
      </c>
      <c r="AE48" s="1363" t="s">
        <v>20</v>
      </c>
      <c r="AF48" s="1363">
        <f>IF(W48&gt;=1,(AA48*12+AC48)-(W48*12+Y48)+1,"")</f>
        <v>12</v>
      </c>
      <c r="AG48" s="1359" t="s">
        <v>33</v>
      </c>
      <c r="AH48" s="1365" t="str">
        <f t="shared" ref="AH48" si="86">IFERROR(ROUNDDOWN(ROUND(L46*U48,0),0)*AF48,"")</f>
        <v/>
      </c>
      <c r="AI48" s="1367" t="str">
        <f t="shared" ref="AI48" si="87">IFERROR(ROUNDDOWN(ROUND((L46*(U48-AW46)),0),0)*AF48,"")</f>
        <v/>
      </c>
      <c r="AJ48" s="1369">
        <f>IFERROR(IF(OR(M46="",M47="",M49=""),0,ROUNDDOWN(ROUNDDOWN(ROUND(L46*VLOOKUP(K46,【参考】数式用!$A$5:$AB$37,MATCH("新加算Ⅳ",【参考】数式用!$B$4:$AB$4,0)+1,0),0),0)*AF48*0.5,0)),"")</f>
        <v>0</v>
      </c>
      <c r="AK48" s="1339" t="str">
        <f t="shared" ref="AK48" si="88">IF(T48&lt;&gt;"","新規に適用","")</f>
        <v/>
      </c>
      <c r="AL48" s="1343">
        <f>IFERROR(IF(OR(M49="ベア加算",M49=""),0, IF(OR(T46="新加算Ⅰ",T46="新加算Ⅱ",T46="新加算Ⅲ",T46="新加算Ⅳ"),0,ROUNDDOWN(ROUND(L46*VLOOKUP(K46,【参考】数式用!$A$5:$I$37,MATCH("ベア加算",【参考】数式用!$B$4:$I$4,0)+1,0),0),0)*AF48)),"")</f>
        <v>0</v>
      </c>
      <c r="AM48" s="1313" t="str">
        <f>IF(AND(T48&lt;&gt;"",AM46=""),"新規に適用",IF(AND(T48&lt;&gt;"",AM46&lt;&gt;""),"継続で適用",""))</f>
        <v/>
      </c>
      <c r="AN48" s="1313" t="str">
        <f>IF(AND(T48&lt;&gt;"",AN46=""),"新規に適用",IF(AND(T48&lt;&gt;"",AN46&lt;&gt;""),"継続で適用",""))</f>
        <v/>
      </c>
      <c r="AO48" s="1361"/>
      <c r="AP48" s="1313" t="str">
        <f>IF(AND(T48&lt;&gt;"",AP46=""),"新規に適用",IF(AND(T48&lt;&gt;"",AP46&lt;&gt;""),"継続で適用",""))</f>
        <v/>
      </c>
      <c r="AQ48" s="1317" t="str">
        <f t="shared" si="66"/>
        <v/>
      </c>
      <c r="AR48" s="1313" t="str">
        <f>IF(AND(T48&lt;&gt;"",AR46=""),"新規に適用",IF(AND(T48&lt;&gt;"",AR46&lt;&gt;""),"継続で適用",""))</f>
        <v/>
      </c>
      <c r="AS48" s="1302"/>
      <c r="AT48" s="554"/>
      <c r="AU48" s="1303" t="str">
        <f>IF(K46&lt;&gt;"","V列に色付け","")</f>
        <v/>
      </c>
      <c r="AV48" s="1304"/>
      <c r="AW48" s="1305"/>
      <c r="AX48"/>
      <c r="AY48"/>
      <c r="AZ48"/>
      <c r="BA48"/>
      <c r="BB48"/>
      <c r="BC48"/>
      <c r="BD48"/>
      <c r="BE48"/>
      <c r="BF48"/>
      <c r="BG48"/>
      <c r="BH48"/>
      <c r="BI48"/>
      <c r="BJ48"/>
      <c r="BK48" s="452" t="str">
        <f>G46</f>
        <v/>
      </c>
    </row>
    <row r="49" spans="1:63" ht="30" customHeight="1" thickBot="1">
      <c r="A49" s="1268"/>
      <c r="B49" s="1411"/>
      <c r="C49" s="1412"/>
      <c r="D49" s="1412"/>
      <c r="E49" s="1412"/>
      <c r="F49" s="1413"/>
      <c r="G49" s="1253"/>
      <c r="H49" s="1253"/>
      <c r="I49" s="1253"/>
      <c r="J49" s="1416"/>
      <c r="K49" s="1253"/>
      <c r="L49" s="1277"/>
      <c r="M49" s="553" t="str">
        <f>IF('別紙様式2-2（４・５月分）'!P40="","",'別紙様式2-2（４・５月分）'!P40)</f>
        <v/>
      </c>
      <c r="N49" s="1394"/>
      <c r="O49" s="1374"/>
      <c r="P49" s="1376"/>
      <c r="Q49" s="1378"/>
      <c r="R49" s="1380"/>
      <c r="S49" s="1382"/>
      <c r="T49" s="1384"/>
      <c r="U49" s="1386"/>
      <c r="V49" s="1388"/>
      <c r="W49" s="1390"/>
      <c r="X49" s="1364"/>
      <c r="Y49" s="1390"/>
      <c r="Z49" s="1364"/>
      <c r="AA49" s="1390"/>
      <c r="AB49" s="1364"/>
      <c r="AC49" s="1390"/>
      <c r="AD49" s="1364"/>
      <c r="AE49" s="1364"/>
      <c r="AF49" s="1364"/>
      <c r="AG49" s="1360"/>
      <c r="AH49" s="1366"/>
      <c r="AI49" s="1368"/>
      <c r="AJ49" s="1370"/>
      <c r="AK49" s="1340"/>
      <c r="AL49" s="1344"/>
      <c r="AM49" s="1314"/>
      <c r="AN49" s="1314"/>
      <c r="AO49" s="1362"/>
      <c r="AP49" s="1314"/>
      <c r="AQ49" s="1318"/>
      <c r="AR49" s="1314"/>
      <c r="AS49" s="490"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4"/>
      <c r="AU49" s="1303"/>
      <c r="AV49" s="555" t="str">
        <f>IF('別紙様式2-2（４・５月分）'!N40="","",'別紙様式2-2（４・５月分）'!N40)</f>
        <v/>
      </c>
      <c r="AW49" s="1305"/>
      <c r="AX49"/>
      <c r="AY49"/>
      <c r="AZ49"/>
      <c r="BA49"/>
      <c r="BB49"/>
      <c r="BC49"/>
      <c r="BD49"/>
      <c r="BE49"/>
      <c r="BF49"/>
      <c r="BG49"/>
      <c r="BH49"/>
      <c r="BI49"/>
      <c r="BJ49"/>
      <c r="BK49" s="452" t="str">
        <f>G46</f>
        <v/>
      </c>
    </row>
    <row r="50" spans="1:63" ht="30" customHeight="1">
      <c r="A50" s="1266">
        <v>10</v>
      </c>
      <c r="B50" s="1232" t="str">
        <f>IF(基本情報入力シート!C63="","",基本情報入力シート!C63)</f>
        <v/>
      </c>
      <c r="C50" s="1233"/>
      <c r="D50" s="1233"/>
      <c r="E50" s="1233"/>
      <c r="F50" s="1234"/>
      <c r="G50" s="1251" t="str">
        <f>IF(基本情報入力シート!M63="","",基本情報入力シート!M63)</f>
        <v/>
      </c>
      <c r="H50" s="1251" t="str">
        <f>IF(基本情報入力シート!R63="","",基本情報入力シート!R63)</f>
        <v/>
      </c>
      <c r="I50" s="1251" t="str">
        <f>IF(基本情報入力シート!W63="","",基本情報入力シート!W63)</f>
        <v/>
      </c>
      <c r="J50" s="1414" t="str">
        <f>IF(基本情報入力シート!X63="","",基本情報入力シート!X63)</f>
        <v/>
      </c>
      <c r="K50" s="1251" t="str">
        <f>IF(基本情報入力シート!Y63="","",基本情報入力シート!Y63)</f>
        <v/>
      </c>
      <c r="L50" s="1275" t="str">
        <f>IF(基本情報入力シート!AB63="","",基本情報入力シート!AB63)</f>
        <v/>
      </c>
      <c r="M50" s="550" t="str">
        <f>IF('別紙様式2-2（４・５月分）'!P41="","",'別紙様式2-2（４・５月分）'!P41)</f>
        <v/>
      </c>
      <c r="N50" s="1391" t="str">
        <f>IF(SUM('別紙様式2-2（４・５月分）'!Q41:Q43)=0,"",SUM('別紙様式2-2（４・５月分）'!Q41:Q43))</f>
        <v/>
      </c>
      <c r="O50" s="1395" t="str">
        <f>IFERROR(VLOOKUP('別紙様式2-2（４・５月分）'!AQ41,【参考】数式用!$AR$5:$AS$22,2,FALSE),"")</f>
        <v/>
      </c>
      <c r="P50" s="1396"/>
      <c r="Q50" s="1397"/>
      <c r="R50" s="1401" t="str">
        <f>IFERROR(VLOOKUP(K50,【参考】数式用!$A$5:$AB$37,MATCH(O50,【参考】数式用!$B$4:$AB$4,0)+1,0),"")</f>
        <v/>
      </c>
      <c r="S50" s="1403" t="s">
        <v>2021</v>
      </c>
      <c r="T50" s="1405"/>
      <c r="U50" s="1407" t="str">
        <f>IFERROR(VLOOKUP(K50,【参考】数式用!$A$5:$AB$37,MATCH(T50,【参考】数式用!$B$4:$AB$4,0)+1,0),"")</f>
        <v/>
      </c>
      <c r="V50" s="1409" t="s">
        <v>15</v>
      </c>
      <c r="W50" s="1347">
        <v>6</v>
      </c>
      <c r="X50" s="1349" t="s">
        <v>10</v>
      </c>
      <c r="Y50" s="1347">
        <v>6</v>
      </c>
      <c r="Z50" s="1349" t="s">
        <v>38</v>
      </c>
      <c r="AA50" s="1347">
        <v>7</v>
      </c>
      <c r="AB50" s="1349" t="s">
        <v>10</v>
      </c>
      <c r="AC50" s="1347">
        <v>3</v>
      </c>
      <c r="AD50" s="1349" t="s">
        <v>13</v>
      </c>
      <c r="AE50" s="1349" t="s">
        <v>20</v>
      </c>
      <c r="AF50" s="1349">
        <f>IF(W50&gt;=1,(AA50*12+AC50)-(W50*12+Y50)+1,"")</f>
        <v>10</v>
      </c>
      <c r="AG50" s="1351" t="s">
        <v>33</v>
      </c>
      <c r="AH50" s="1353" t="str">
        <f t="shared" ref="AH50" si="90">IFERROR(ROUNDDOWN(ROUND(L50*U50,0),0)*AF50,"")</f>
        <v/>
      </c>
      <c r="AI50" s="1355" t="str">
        <f t="shared" ref="AI50" si="91">IFERROR(ROUNDDOWN(ROUND((L50*(U50-AW50)),0),0)*AF50,"")</f>
        <v/>
      </c>
      <c r="AJ50" s="1357">
        <f>IFERROR(IF(OR(M50="",M51="",M53=""),0,ROUNDDOWN(ROUNDDOWN(ROUND(L50*VLOOKUP(K50,【参考】数式用!$A$5:$AB$37,MATCH("新加算Ⅳ",【参考】数式用!$B$4:$AB$4,0)+1,0),0),0)*AF50*0.5,0)),"")</f>
        <v>0</v>
      </c>
      <c r="AK50" s="1341"/>
      <c r="AL50" s="1345">
        <f>IFERROR(IF(OR(M53="ベア加算",M53=""),0, IF(OR(T50="新加算Ⅰ",T50="新加算Ⅱ",T50="新加算Ⅲ",T50="新加算Ⅳ"),ROUNDDOWN(ROUND(L50*VLOOKUP(K50,【参考】数式用!$A$5:$I$37,MATCH("ベア加算",【参考】数式用!$B$4:$I$4,0)+1,0),0),0)*AF50,0)),"")</f>
        <v>0</v>
      </c>
      <c r="AM50" s="1331"/>
      <c r="AN50" s="1337"/>
      <c r="AO50" s="1333"/>
      <c r="AP50" s="1333"/>
      <c r="AQ50" s="1335"/>
      <c r="AR50" s="1315"/>
      <c r="AS50" s="465" t="str">
        <f t="shared" ref="AS50" si="92">IF(AU50="","",IF(U50&lt;N50,"！加算の要件上は問題ありませんが、令和６年４・５月と比較して令和６年６月に加算率が下がる計画になっています。",""))</f>
        <v/>
      </c>
      <c r="AT50" s="554"/>
      <c r="AU50" s="1303" t="str">
        <f>IF(K50&lt;&gt;"","V列に色付け","")</f>
        <v/>
      </c>
      <c r="AV50" s="555" t="str">
        <f>IF('別紙様式2-2（４・５月分）'!N41="","",'別紙様式2-2（４・５月分）'!N41)</f>
        <v/>
      </c>
      <c r="AW50" s="1305" t="str">
        <f>IF(SUM('別紙様式2-2（４・５月分）'!O41:O43)=0,"",SUM('別紙様式2-2（４・５月分）'!O41:O43))</f>
        <v/>
      </c>
      <c r="AX50" s="1306" t="str">
        <f>IFERROR(VLOOKUP(K50,【参考】数式用!$AH$2:$AI$34,2,FALSE),"")</f>
        <v/>
      </c>
      <c r="AY50" s="1222" t="s">
        <v>1959</v>
      </c>
      <c r="AZ50" s="1222" t="s">
        <v>1960</v>
      </c>
      <c r="BA50" s="1222" t="s">
        <v>1961</v>
      </c>
      <c r="BB50" s="1222" t="s">
        <v>1962</v>
      </c>
      <c r="BC50" s="1222" t="str">
        <f>IF(AND(O50&lt;&gt;"新加算Ⅰ",O50&lt;&gt;"新加算Ⅱ",O50&lt;&gt;"新加算Ⅲ",O50&lt;&gt;"新加算Ⅳ"),O50,IF(P52&lt;&gt;"",P52,""))</f>
        <v/>
      </c>
      <c r="BD50" s="1222"/>
      <c r="BE50" s="1222" t="str">
        <f t="shared" ref="BE50" si="93">IF(AL50&lt;&gt;0,IF(AM50="○","入力済","未入力"),"")</f>
        <v/>
      </c>
      <c r="BF50" s="1222"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2" t="str">
        <f>IF(OR(T50="新加算Ⅴ（７）",T50="新加算Ⅴ（９）",T50="新加算Ⅴ（10）",T50="新加算Ⅴ（12）",T50="新加算Ⅴ（13）",T50="新加算Ⅴ（14）"),IF(OR(AO50="○",AO50="令和６年度中に満たす"),"入力済","未入力"),"")</f>
        <v/>
      </c>
      <c r="BH50" s="1323" t="str">
        <f t="shared" ref="BH50" si="94">IF(OR(T50="新加算Ⅰ",T50="新加算Ⅱ",T50="新加算Ⅲ",T50="新加算Ⅴ（１）",T50="新加算Ⅴ（３）",T50="新加算Ⅴ（８）"),IF(OR(AP50="○",AP50="令和６年度中に満たす"),"入力済","未入力"),"")</f>
        <v/>
      </c>
      <c r="BI50" s="1325" t="str">
        <f t="shared" ref="BI50" si="95">IF(OR(T50="新加算Ⅰ",T50="新加算Ⅱ",T50="新加算Ⅴ（１）",T50="新加算Ⅴ（２）",T50="新加算Ⅴ（３）",T50="新加算Ⅴ（４）",T50="新加算Ⅴ（５）",T50="新加算Ⅴ（６）",T50="新加算Ⅴ（７）",T50="新加算Ⅴ（９）",T50="新加算Ⅴ（10）",T50="新加算Ⅴ（12）"),1,"")</f>
        <v/>
      </c>
      <c r="BJ50" s="1303" t="str">
        <f>IF(OR(T50="新加算Ⅰ",T50="新加算Ⅴ（１）",T50="新加算Ⅴ（２）",T50="新加算Ⅴ（５）",T50="新加算Ⅴ（７）",T50="新加算Ⅴ（10）"),IF(AR50="","未入力","入力済"),"")</f>
        <v/>
      </c>
      <c r="BK50" s="452" t="str">
        <f>G50</f>
        <v/>
      </c>
    </row>
    <row r="51" spans="1:63" ht="15" customHeight="1">
      <c r="A51" s="1267"/>
      <c r="B51" s="1235"/>
      <c r="C51" s="1236"/>
      <c r="D51" s="1236"/>
      <c r="E51" s="1236"/>
      <c r="F51" s="1237"/>
      <c r="G51" s="1252"/>
      <c r="H51" s="1252"/>
      <c r="I51" s="1252"/>
      <c r="J51" s="1415"/>
      <c r="K51" s="1252"/>
      <c r="L51" s="1276"/>
      <c r="M51" s="1371" t="str">
        <f>IF('別紙様式2-2（４・５月分）'!P42="","",'別紙様式2-2（４・５月分）'!P42)</f>
        <v/>
      </c>
      <c r="N51" s="1392"/>
      <c r="O51" s="1398"/>
      <c r="P51" s="1399"/>
      <c r="Q51" s="1400"/>
      <c r="R51" s="1402"/>
      <c r="S51" s="1404"/>
      <c r="T51" s="1406"/>
      <c r="U51" s="1408"/>
      <c r="V51" s="1410"/>
      <c r="W51" s="1348"/>
      <c r="X51" s="1350"/>
      <c r="Y51" s="1348"/>
      <c r="Z51" s="1350"/>
      <c r="AA51" s="1348"/>
      <c r="AB51" s="1350"/>
      <c r="AC51" s="1348"/>
      <c r="AD51" s="1350"/>
      <c r="AE51" s="1350"/>
      <c r="AF51" s="1350"/>
      <c r="AG51" s="1352"/>
      <c r="AH51" s="1354"/>
      <c r="AI51" s="1356"/>
      <c r="AJ51" s="1358"/>
      <c r="AK51" s="1342"/>
      <c r="AL51" s="1346"/>
      <c r="AM51" s="1332"/>
      <c r="AN51" s="1338"/>
      <c r="AO51" s="1334"/>
      <c r="AP51" s="1334"/>
      <c r="AQ51" s="1336"/>
      <c r="AR51" s="1316"/>
      <c r="AS51" s="1302"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4"/>
      <c r="AU51" s="1303"/>
      <c r="AV51" s="1304" t="str">
        <f>IF('別紙様式2-2（４・５月分）'!N42="","",'別紙様式2-2（４・５月分）'!N42)</f>
        <v/>
      </c>
      <c r="AW51" s="1305"/>
      <c r="AX51" s="1306"/>
      <c r="AY51" s="1222"/>
      <c r="AZ51" s="1222"/>
      <c r="BA51" s="1222"/>
      <c r="BB51" s="1222"/>
      <c r="BC51" s="1222"/>
      <c r="BD51" s="1222"/>
      <c r="BE51" s="1222"/>
      <c r="BF51" s="1222"/>
      <c r="BG51" s="1222"/>
      <c r="BH51" s="1324"/>
      <c r="BI51" s="1326"/>
      <c r="BJ51" s="1303"/>
      <c r="BK51" s="452" t="str">
        <f>G50</f>
        <v/>
      </c>
    </row>
    <row r="52" spans="1:63" ht="15" customHeight="1">
      <c r="A52" s="1295"/>
      <c r="B52" s="1235"/>
      <c r="C52" s="1236"/>
      <c r="D52" s="1236"/>
      <c r="E52" s="1236"/>
      <c r="F52" s="1237"/>
      <c r="G52" s="1252"/>
      <c r="H52" s="1252"/>
      <c r="I52" s="1252"/>
      <c r="J52" s="1415"/>
      <c r="K52" s="1252"/>
      <c r="L52" s="1276"/>
      <c r="M52" s="1372"/>
      <c r="N52" s="1393"/>
      <c r="O52" s="1373" t="s">
        <v>2025</v>
      </c>
      <c r="P52" s="1375" t="str">
        <f>IFERROR(VLOOKUP('別紙様式2-2（４・５月分）'!AQ41,【参考】数式用!$AR$5:$AT$22,3,FALSE),"")</f>
        <v/>
      </c>
      <c r="Q52" s="1377" t="s">
        <v>2036</v>
      </c>
      <c r="R52" s="1379" t="str">
        <f>IFERROR(VLOOKUP(K50,【参考】数式用!$A$5:$AB$37,MATCH(P52,【参考】数式用!$B$4:$AB$4,0)+1,0),"")</f>
        <v/>
      </c>
      <c r="S52" s="1381" t="s">
        <v>161</v>
      </c>
      <c r="T52" s="1383"/>
      <c r="U52" s="1385" t="str">
        <f>IFERROR(VLOOKUP(K50,【参考】数式用!$A$5:$AB$37,MATCH(T52,【参考】数式用!$B$4:$AB$4,0)+1,0),"")</f>
        <v/>
      </c>
      <c r="V52" s="1387" t="s">
        <v>15</v>
      </c>
      <c r="W52" s="1389">
        <v>7</v>
      </c>
      <c r="X52" s="1363" t="s">
        <v>10</v>
      </c>
      <c r="Y52" s="1389">
        <v>4</v>
      </c>
      <c r="Z52" s="1363" t="s">
        <v>38</v>
      </c>
      <c r="AA52" s="1389">
        <v>8</v>
      </c>
      <c r="AB52" s="1363" t="s">
        <v>10</v>
      </c>
      <c r="AC52" s="1389">
        <v>3</v>
      </c>
      <c r="AD52" s="1363" t="s">
        <v>13</v>
      </c>
      <c r="AE52" s="1363" t="s">
        <v>20</v>
      </c>
      <c r="AF52" s="1363">
        <f>IF(W52&gt;=1,(AA52*12+AC52)-(W52*12+Y52)+1,"")</f>
        <v>12</v>
      </c>
      <c r="AG52" s="1359" t="s">
        <v>33</v>
      </c>
      <c r="AH52" s="1365" t="str">
        <f t="shared" ref="AH52" si="97">IFERROR(ROUNDDOWN(ROUND(L50*U52,0),0)*AF52,"")</f>
        <v/>
      </c>
      <c r="AI52" s="1367" t="str">
        <f t="shared" ref="AI52" si="98">IFERROR(ROUNDDOWN(ROUND((L50*(U52-AW50)),0),0)*AF52,"")</f>
        <v/>
      </c>
      <c r="AJ52" s="1369">
        <f>IFERROR(IF(OR(M50="",M51="",M53=""),0,ROUNDDOWN(ROUNDDOWN(ROUND(L50*VLOOKUP(K50,【参考】数式用!$A$5:$AB$37,MATCH("新加算Ⅳ",【参考】数式用!$B$4:$AB$4,0)+1,0),0),0)*AF52*0.5,0)),"")</f>
        <v>0</v>
      </c>
      <c r="AK52" s="1339" t="str">
        <f t="shared" ref="AK52" si="99">IF(T52&lt;&gt;"","新規に適用","")</f>
        <v/>
      </c>
      <c r="AL52" s="1343">
        <f>IFERROR(IF(OR(M53="ベア加算",M53=""),0, IF(OR(T50="新加算Ⅰ",T50="新加算Ⅱ",T50="新加算Ⅲ",T50="新加算Ⅳ"),0,ROUNDDOWN(ROUND(L50*VLOOKUP(K50,【参考】数式用!$A$5:$I$37,MATCH("ベア加算",【参考】数式用!$B$4:$I$4,0)+1,0),0),0)*AF52)),"")</f>
        <v>0</v>
      </c>
      <c r="AM52" s="1313" t="str">
        <f>IF(AND(T52&lt;&gt;"",AM50=""),"新規に適用",IF(AND(T52&lt;&gt;"",AM50&lt;&gt;""),"継続で適用",""))</f>
        <v/>
      </c>
      <c r="AN52" s="1313" t="str">
        <f>IF(AND(T52&lt;&gt;"",AN50=""),"新規に適用",IF(AND(T52&lt;&gt;"",AN50&lt;&gt;""),"継続で適用",""))</f>
        <v/>
      </c>
      <c r="AO52" s="1361"/>
      <c r="AP52" s="1313" t="str">
        <f>IF(AND(T52&lt;&gt;"",AP50=""),"新規に適用",IF(AND(T52&lt;&gt;"",AP50&lt;&gt;""),"継続で適用",""))</f>
        <v/>
      </c>
      <c r="AQ52" s="1317" t="str">
        <f t="shared" si="66"/>
        <v/>
      </c>
      <c r="AR52" s="1417" t="str">
        <f>IF(AND(T52&lt;&gt;"",AR50=""),"新規に適用",IF(AND(T52&lt;&gt;"",AR50&lt;&gt;""),"継続で適用",""))</f>
        <v/>
      </c>
      <c r="AS52" s="1302"/>
      <c r="AT52" s="554"/>
      <c r="AU52" s="1303" t="str">
        <f>IF(K50&lt;&gt;"","V列に色付け","")</f>
        <v/>
      </c>
      <c r="AV52" s="1304"/>
      <c r="AW52" s="1305"/>
      <c r="AX52"/>
      <c r="AY52"/>
      <c r="AZ52"/>
      <c r="BA52"/>
      <c r="BB52"/>
      <c r="BC52"/>
      <c r="BD52"/>
      <c r="BE52"/>
      <c r="BF52"/>
      <c r="BG52"/>
      <c r="BH52"/>
      <c r="BI52"/>
      <c r="BJ52"/>
      <c r="BK52" s="452" t="str">
        <f>G50</f>
        <v/>
      </c>
    </row>
    <row r="53" spans="1:63" ht="30" customHeight="1" thickBot="1">
      <c r="A53" s="1268"/>
      <c r="B53" s="1411"/>
      <c r="C53" s="1412"/>
      <c r="D53" s="1412"/>
      <c r="E53" s="1412"/>
      <c r="F53" s="1413"/>
      <c r="G53" s="1253"/>
      <c r="H53" s="1253"/>
      <c r="I53" s="1253"/>
      <c r="J53" s="1416"/>
      <c r="K53" s="1253"/>
      <c r="L53" s="1277"/>
      <c r="M53" s="553" t="str">
        <f>IF('別紙様式2-2（４・５月分）'!P43="","",'別紙様式2-2（４・５月分）'!P43)</f>
        <v/>
      </c>
      <c r="N53" s="1394"/>
      <c r="O53" s="1374"/>
      <c r="P53" s="1376"/>
      <c r="Q53" s="1378"/>
      <c r="R53" s="1380"/>
      <c r="S53" s="1382"/>
      <c r="T53" s="1384"/>
      <c r="U53" s="1386"/>
      <c r="V53" s="1388"/>
      <c r="W53" s="1390"/>
      <c r="X53" s="1364"/>
      <c r="Y53" s="1390"/>
      <c r="Z53" s="1364"/>
      <c r="AA53" s="1390"/>
      <c r="AB53" s="1364"/>
      <c r="AC53" s="1390"/>
      <c r="AD53" s="1364"/>
      <c r="AE53" s="1364"/>
      <c r="AF53" s="1364"/>
      <c r="AG53" s="1360"/>
      <c r="AH53" s="1366"/>
      <c r="AI53" s="1368"/>
      <c r="AJ53" s="1370"/>
      <c r="AK53" s="1340"/>
      <c r="AL53" s="1344"/>
      <c r="AM53" s="1314"/>
      <c r="AN53" s="1314"/>
      <c r="AO53" s="1362"/>
      <c r="AP53" s="1314"/>
      <c r="AQ53" s="1318"/>
      <c r="AR53" s="1418"/>
      <c r="AS53" s="490"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4"/>
      <c r="AU53" s="1303"/>
      <c r="AV53" s="555" t="str">
        <f>IF('別紙様式2-2（４・５月分）'!N43="","",'別紙様式2-2（４・５月分）'!N43)</f>
        <v/>
      </c>
      <c r="AW53" s="1305"/>
      <c r="AX53"/>
      <c r="AY53"/>
      <c r="AZ53"/>
      <c r="BA53"/>
      <c r="BB53"/>
      <c r="BC53"/>
      <c r="BD53"/>
      <c r="BE53"/>
      <c r="BF53"/>
      <c r="BG53"/>
      <c r="BH53"/>
      <c r="BI53"/>
      <c r="BJ53"/>
      <c r="BK53" s="452" t="str">
        <f>G50</f>
        <v/>
      </c>
    </row>
    <row r="54" spans="1:63" ht="30" customHeight="1">
      <c r="A54" s="1266">
        <v>11</v>
      </c>
      <c r="B54" s="1232" t="str">
        <f>IF(基本情報入力シート!C64="","",基本情報入力シート!C64)</f>
        <v/>
      </c>
      <c r="C54" s="1233"/>
      <c r="D54" s="1233"/>
      <c r="E54" s="1233"/>
      <c r="F54" s="1234"/>
      <c r="G54" s="1251" t="str">
        <f>IF(基本情報入力シート!M64="","",基本情報入力シート!M64)</f>
        <v/>
      </c>
      <c r="H54" s="1251" t="str">
        <f>IF(基本情報入力シート!R64="","",基本情報入力シート!R64)</f>
        <v/>
      </c>
      <c r="I54" s="1251" t="str">
        <f>IF(基本情報入力シート!W64="","",基本情報入力シート!W64)</f>
        <v/>
      </c>
      <c r="J54" s="1414" t="str">
        <f>IF(基本情報入力シート!X64="","",基本情報入力シート!X64)</f>
        <v/>
      </c>
      <c r="K54" s="1251" t="str">
        <f>IF(基本情報入力シート!Y64="","",基本情報入力シート!Y64)</f>
        <v/>
      </c>
      <c r="L54" s="1275" t="str">
        <f>IF(基本情報入力シート!AB64="","",基本情報入力シート!AB64)</f>
        <v/>
      </c>
      <c r="M54" s="550" t="str">
        <f>IF('別紙様式2-2（４・５月分）'!P44="","",'別紙様式2-2（４・５月分）'!P44)</f>
        <v/>
      </c>
      <c r="N54" s="1391" t="str">
        <f>IF(SUM('別紙様式2-2（４・５月分）'!Q44:Q46)=0,"",SUM('別紙様式2-2（４・５月分）'!Q44:Q46))</f>
        <v/>
      </c>
      <c r="O54" s="1395" t="str">
        <f>IFERROR(VLOOKUP('別紙様式2-2（４・５月分）'!AQ44,【参考】数式用!$AR$5:$AS$22,2,FALSE),"")</f>
        <v/>
      </c>
      <c r="P54" s="1396"/>
      <c r="Q54" s="1397"/>
      <c r="R54" s="1401" t="str">
        <f>IFERROR(VLOOKUP(K54,【参考】数式用!$A$5:$AB$37,MATCH(O54,【参考】数式用!$B$4:$AB$4,0)+1,0),"")</f>
        <v/>
      </c>
      <c r="S54" s="1403" t="s">
        <v>2021</v>
      </c>
      <c r="T54" s="1405"/>
      <c r="U54" s="1407" t="str">
        <f>IFERROR(VLOOKUP(K54,【参考】数式用!$A$5:$AB$37,MATCH(T54,【参考】数式用!$B$4:$AB$4,0)+1,0),"")</f>
        <v/>
      </c>
      <c r="V54" s="1409" t="s">
        <v>15</v>
      </c>
      <c r="W54" s="1347">
        <v>6</v>
      </c>
      <c r="X54" s="1349" t="s">
        <v>10</v>
      </c>
      <c r="Y54" s="1347">
        <v>6</v>
      </c>
      <c r="Z54" s="1349" t="s">
        <v>38</v>
      </c>
      <c r="AA54" s="1347">
        <v>7</v>
      </c>
      <c r="AB54" s="1349" t="s">
        <v>10</v>
      </c>
      <c r="AC54" s="1347">
        <v>3</v>
      </c>
      <c r="AD54" s="1349" t="s">
        <v>13</v>
      </c>
      <c r="AE54" s="1349" t="s">
        <v>20</v>
      </c>
      <c r="AF54" s="1349">
        <f>IF(W54&gt;=1,(AA54*12+AC54)-(W54*12+Y54)+1,"")</f>
        <v>10</v>
      </c>
      <c r="AG54" s="1351" t="s">
        <v>33</v>
      </c>
      <c r="AH54" s="1353" t="str">
        <f t="shared" ref="AH54" si="101">IFERROR(ROUNDDOWN(ROUND(L54*U54,0),0)*AF54,"")</f>
        <v/>
      </c>
      <c r="AI54" s="1355" t="str">
        <f t="shared" ref="AI54" si="102">IFERROR(ROUNDDOWN(ROUND((L54*(U54-AW54)),0),0)*AF54,"")</f>
        <v/>
      </c>
      <c r="AJ54" s="1357">
        <f>IFERROR(IF(OR(M54="",M55="",M57=""),0,ROUNDDOWN(ROUNDDOWN(ROUND(L54*VLOOKUP(K54,【参考】数式用!$A$5:$AB$37,MATCH("新加算Ⅳ",【参考】数式用!$B$4:$AB$4,0)+1,0),0),0)*AF54*0.5,0)),"")</f>
        <v>0</v>
      </c>
      <c r="AK54" s="1341"/>
      <c r="AL54" s="1345">
        <f>IFERROR(IF(OR(M57="ベア加算",M57=""),0, IF(OR(T54="新加算Ⅰ",T54="新加算Ⅱ",T54="新加算Ⅲ",T54="新加算Ⅳ"),ROUNDDOWN(ROUND(L54*VLOOKUP(K54,【参考】数式用!$A$5:$I$37,MATCH("ベア加算",【参考】数式用!$B$4:$I$4,0)+1,0),0),0)*AF54,0)),"")</f>
        <v>0</v>
      </c>
      <c r="AM54" s="1331"/>
      <c r="AN54" s="1337"/>
      <c r="AO54" s="1333"/>
      <c r="AP54" s="1333"/>
      <c r="AQ54" s="1335"/>
      <c r="AR54" s="1315"/>
      <c r="AS54" s="465" t="str">
        <f t="shared" ref="AS54" si="103">IF(AU54="","",IF(U54&lt;N54,"！加算の要件上は問題ありませんが、令和６年４・５月と比較して令和６年６月に加算率が下がる計画になっています。",""))</f>
        <v/>
      </c>
      <c r="AT54" s="554"/>
      <c r="AU54" s="1303" t="str">
        <f>IF(K54&lt;&gt;"","V列に色付け","")</f>
        <v/>
      </c>
      <c r="AV54" s="555" t="str">
        <f>IF('別紙様式2-2（４・５月分）'!N44="","",'別紙様式2-2（４・５月分）'!N44)</f>
        <v/>
      </c>
      <c r="AW54" s="1305" t="str">
        <f>IF(SUM('別紙様式2-2（４・５月分）'!O44:O46)=0,"",SUM('別紙様式2-2（４・５月分）'!O44:O46))</f>
        <v/>
      </c>
      <c r="AX54" s="1306" t="str">
        <f>IFERROR(VLOOKUP(K54,【参考】数式用!$AH$2:$AI$34,2,FALSE),"")</f>
        <v/>
      </c>
      <c r="AY54" s="1222" t="s">
        <v>1959</v>
      </c>
      <c r="AZ54" s="1222" t="s">
        <v>1960</v>
      </c>
      <c r="BA54" s="1222" t="s">
        <v>1961</v>
      </c>
      <c r="BB54" s="1222" t="s">
        <v>1962</v>
      </c>
      <c r="BC54" s="1222" t="str">
        <f>IF(AND(O54&lt;&gt;"新加算Ⅰ",O54&lt;&gt;"新加算Ⅱ",O54&lt;&gt;"新加算Ⅲ",O54&lt;&gt;"新加算Ⅳ"),O54,IF(P56&lt;&gt;"",P56,""))</f>
        <v/>
      </c>
      <c r="BD54" s="1222"/>
      <c r="BE54" s="1222" t="str">
        <f t="shared" ref="BE54" si="104">IF(AL54&lt;&gt;0,IF(AM54="○","入力済","未入力"),"")</f>
        <v/>
      </c>
      <c r="BF54" s="1222"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2" t="str">
        <f>IF(OR(T54="新加算Ⅴ（７）",T54="新加算Ⅴ（９）",T54="新加算Ⅴ（10）",T54="新加算Ⅴ（12）",T54="新加算Ⅴ（13）",T54="新加算Ⅴ（14）"),IF(OR(AO54="○",AO54="令和６年度中に満たす"),"入力済","未入力"),"")</f>
        <v/>
      </c>
      <c r="BH54" s="1323" t="str">
        <f t="shared" ref="BH54" si="105">IF(OR(T54="新加算Ⅰ",T54="新加算Ⅱ",T54="新加算Ⅲ",T54="新加算Ⅴ（１）",T54="新加算Ⅴ（３）",T54="新加算Ⅴ（８）"),IF(OR(AP54="○",AP54="令和６年度中に満たす"),"入力済","未入力"),"")</f>
        <v/>
      </c>
      <c r="BI54" s="1325" t="str">
        <f t="shared" ref="BI54" si="106">IF(OR(T54="新加算Ⅰ",T54="新加算Ⅱ",T54="新加算Ⅴ（１）",T54="新加算Ⅴ（２）",T54="新加算Ⅴ（３）",T54="新加算Ⅴ（４）",T54="新加算Ⅴ（５）",T54="新加算Ⅴ（６）",T54="新加算Ⅴ（７）",T54="新加算Ⅴ（９）",T54="新加算Ⅴ（10）",T54="新加算Ⅴ（12）"),1,"")</f>
        <v/>
      </c>
      <c r="BJ54" s="1303" t="str">
        <f>IF(OR(T54="新加算Ⅰ",T54="新加算Ⅴ（１）",T54="新加算Ⅴ（２）",T54="新加算Ⅴ（５）",T54="新加算Ⅴ（７）",T54="新加算Ⅴ（10）"),IF(AR54="","未入力","入力済"),"")</f>
        <v/>
      </c>
      <c r="BK54" s="452" t="str">
        <f>G54</f>
        <v/>
      </c>
    </row>
    <row r="55" spans="1:63" ht="15" customHeight="1">
      <c r="A55" s="1267"/>
      <c r="B55" s="1235"/>
      <c r="C55" s="1236"/>
      <c r="D55" s="1236"/>
      <c r="E55" s="1236"/>
      <c r="F55" s="1237"/>
      <c r="G55" s="1252"/>
      <c r="H55" s="1252"/>
      <c r="I55" s="1252"/>
      <c r="J55" s="1415"/>
      <c r="K55" s="1252"/>
      <c r="L55" s="1276"/>
      <c r="M55" s="1371" t="str">
        <f>IF('別紙様式2-2（４・５月分）'!P45="","",'別紙様式2-2（４・５月分）'!P45)</f>
        <v/>
      </c>
      <c r="N55" s="1392"/>
      <c r="O55" s="1398"/>
      <c r="P55" s="1399"/>
      <c r="Q55" s="1400"/>
      <c r="R55" s="1402"/>
      <c r="S55" s="1404"/>
      <c r="T55" s="1406"/>
      <c r="U55" s="1408"/>
      <c r="V55" s="1410"/>
      <c r="W55" s="1348"/>
      <c r="X55" s="1350"/>
      <c r="Y55" s="1348"/>
      <c r="Z55" s="1350"/>
      <c r="AA55" s="1348"/>
      <c r="AB55" s="1350"/>
      <c r="AC55" s="1348"/>
      <c r="AD55" s="1350"/>
      <c r="AE55" s="1350"/>
      <c r="AF55" s="1350"/>
      <c r="AG55" s="1352"/>
      <c r="AH55" s="1354"/>
      <c r="AI55" s="1356"/>
      <c r="AJ55" s="1358"/>
      <c r="AK55" s="1342"/>
      <c r="AL55" s="1346"/>
      <c r="AM55" s="1332"/>
      <c r="AN55" s="1338"/>
      <c r="AO55" s="1334"/>
      <c r="AP55" s="1334"/>
      <c r="AQ55" s="1336"/>
      <c r="AR55" s="1316"/>
      <c r="AS55" s="1302"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4"/>
      <c r="AU55" s="1303"/>
      <c r="AV55" s="1304" t="str">
        <f>IF('別紙様式2-2（４・５月分）'!N45="","",'別紙様式2-2（４・５月分）'!N45)</f>
        <v/>
      </c>
      <c r="AW55" s="1305"/>
      <c r="AX55" s="1306"/>
      <c r="AY55" s="1222"/>
      <c r="AZ55" s="1222"/>
      <c r="BA55" s="1222"/>
      <c r="BB55" s="1222"/>
      <c r="BC55" s="1222"/>
      <c r="BD55" s="1222"/>
      <c r="BE55" s="1222"/>
      <c r="BF55" s="1222"/>
      <c r="BG55" s="1222"/>
      <c r="BH55" s="1324"/>
      <c r="BI55" s="1326"/>
      <c r="BJ55" s="1303"/>
      <c r="BK55" s="452" t="str">
        <f>G54</f>
        <v/>
      </c>
    </row>
    <row r="56" spans="1:63" ht="15" customHeight="1">
      <c r="A56" s="1295"/>
      <c r="B56" s="1235"/>
      <c r="C56" s="1236"/>
      <c r="D56" s="1236"/>
      <c r="E56" s="1236"/>
      <c r="F56" s="1237"/>
      <c r="G56" s="1252"/>
      <c r="H56" s="1252"/>
      <c r="I56" s="1252"/>
      <c r="J56" s="1415"/>
      <c r="K56" s="1252"/>
      <c r="L56" s="1276"/>
      <c r="M56" s="1372"/>
      <c r="N56" s="1393"/>
      <c r="O56" s="1373" t="s">
        <v>2025</v>
      </c>
      <c r="P56" s="1375" t="str">
        <f>IFERROR(VLOOKUP('別紙様式2-2（４・５月分）'!AQ44,【参考】数式用!$AR$5:$AT$22,3,FALSE),"")</f>
        <v/>
      </c>
      <c r="Q56" s="1377" t="s">
        <v>2036</v>
      </c>
      <c r="R56" s="1379" t="str">
        <f>IFERROR(VLOOKUP(K54,【参考】数式用!$A$5:$AB$37,MATCH(P56,【参考】数式用!$B$4:$AB$4,0)+1,0),"")</f>
        <v/>
      </c>
      <c r="S56" s="1381" t="s">
        <v>161</v>
      </c>
      <c r="T56" s="1383"/>
      <c r="U56" s="1385" t="str">
        <f>IFERROR(VLOOKUP(K54,【参考】数式用!$A$5:$AB$37,MATCH(T56,【参考】数式用!$B$4:$AB$4,0)+1,0),"")</f>
        <v/>
      </c>
      <c r="V56" s="1387" t="s">
        <v>15</v>
      </c>
      <c r="W56" s="1389">
        <v>7</v>
      </c>
      <c r="X56" s="1363" t="s">
        <v>10</v>
      </c>
      <c r="Y56" s="1389">
        <v>4</v>
      </c>
      <c r="Z56" s="1363" t="s">
        <v>38</v>
      </c>
      <c r="AA56" s="1389">
        <v>8</v>
      </c>
      <c r="AB56" s="1363" t="s">
        <v>10</v>
      </c>
      <c r="AC56" s="1389">
        <v>3</v>
      </c>
      <c r="AD56" s="1363" t="s">
        <v>13</v>
      </c>
      <c r="AE56" s="1363" t="s">
        <v>20</v>
      </c>
      <c r="AF56" s="1363">
        <f>IF(W56&gt;=1,(AA56*12+AC56)-(W56*12+Y56)+1,"")</f>
        <v>12</v>
      </c>
      <c r="AG56" s="1359" t="s">
        <v>33</v>
      </c>
      <c r="AH56" s="1365" t="str">
        <f t="shared" ref="AH56" si="108">IFERROR(ROUNDDOWN(ROUND(L54*U56,0),0)*AF56,"")</f>
        <v/>
      </c>
      <c r="AI56" s="1367" t="str">
        <f t="shared" ref="AI56" si="109">IFERROR(ROUNDDOWN(ROUND((L54*(U56-AW54)),0),0)*AF56,"")</f>
        <v/>
      </c>
      <c r="AJ56" s="1369">
        <f>IFERROR(IF(OR(M54="",M55="",M57=""),0,ROUNDDOWN(ROUNDDOWN(ROUND(L54*VLOOKUP(K54,【参考】数式用!$A$5:$AB$37,MATCH("新加算Ⅳ",【参考】数式用!$B$4:$AB$4,0)+1,0),0),0)*AF56*0.5,0)),"")</f>
        <v>0</v>
      </c>
      <c r="AK56" s="1339" t="str">
        <f t="shared" ref="AK56" si="110">IF(T56&lt;&gt;"","新規に適用","")</f>
        <v/>
      </c>
      <c r="AL56" s="1343">
        <f>IFERROR(IF(OR(M57="ベア加算",M57=""),0, IF(OR(T54="新加算Ⅰ",T54="新加算Ⅱ",T54="新加算Ⅲ",T54="新加算Ⅳ"),0,ROUNDDOWN(ROUND(L54*VLOOKUP(K54,【参考】数式用!$A$5:$I$37,MATCH("ベア加算",【参考】数式用!$B$4:$I$4,0)+1,0),0),0)*AF56)),"")</f>
        <v>0</v>
      </c>
      <c r="AM56" s="1313" t="str">
        <f>IF(AND(T56&lt;&gt;"",AM54=""),"新規に適用",IF(AND(T56&lt;&gt;"",AM54&lt;&gt;""),"継続で適用",""))</f>
        <v/>
      </c>
      <c r="AN56" s="1313" t="str">
        <f>IF(AND(T56&lt;&gt;"",AN54=""),"新規に適用",IF(AND(T56&lt;&gt;"",AN54&lt;&gt;""),"継続で適用",""))</f>
        <v/>
      </c>
      <c r="AO56" s="1361"/>
      <c r="AP56" s="1313" t="str">
        <f>IF(AND(T56&lt;&gt;"",AP54=""),"新規に適用",IF(AND(T56&lt;&gt;"",AP54&lt;&gt;""),"継続で適用",""))</f>
        <v/>
      </c>
      <c r="AQ56" s="1317" t="str">
        <f t="shared" si="66"/>
        <v/>
      </c>
      <c r="AR56" s="1313" t="str">
        <f>IF(AND(T56&lt;&gt;"",AR54=""),"新規に適用",IF(AND(T56&lt;&gt;"",AR54&lt;&gt;""),"継続で適用",""))</f>
        <v/>
      </c>
      <c r="AS56" s="1302"/>
      <c r="AT56" s="554"/>
      <c r="AU56" s="1303" t="str">
        <f>IF(K54&lt;&gt;"","V列に色付け","")</f>
        <v/>
      </c>
      <c r="AV56" s="1304"/>
      <c r="AW56" s="1305"/>
      <c r="AX56"/>
      <c r="AY56"/>
      <c r="AZ56"/>
      <c r="BA56"/>
      <c r="BB56"/>
      <c r="BC56"/>
      <c r="BD56"/>
      <c r="BE56"/>
      <c r="BF56"/>
      <c r="BG56"/>
      <c r="BH56"/>
      <c r="BI56"/>
      <c r="BJ56"/>
      <c r="BK56" s="452" t="str">
        <f>G54</f>
        <v/>
      </c>
    </row>
    <row r="57" spans="1:63" ht="30" customHeight="1" thickBot="1">
      <c r="A57" s="1268"/>
      <c r="B57" s="1411"/>
      <c r="C57" s="1412"/>
      <c r="D57" s="1412"/>
      <c r="E57" s="1412"/>
      <c r="F57" s="1413"/>
      <c r="G57" s="1253"/>
      <c r="H57" s="1253"/>
      <c r="I57" s="1253"/>
      <c r="J57" s="1416"/>
      <c r="K57" s="1253"/>
      <c r="L57" s="1277"/>
      <c r="M57" s="553" t="str">
        <f>IF('別紙様式2-2（４・５月分）'!P46="","",'別紙様式2-2（４・５月分）'!P46)</f>
        <v/>
      </c>
      <c r="N57" s="1394"/>
      <c r="O57" s="1374"/>
      <c r="P57" s="1376"/>
      <c r="Q57" s="1378"/>
      <c r="R57" s="1380"/>
      <c r="S57" s="1382"/>
      <c r="T57" s="1384"/>
      <c r="U57" s="1386"/>
      <c r="V57" s="1388"/>
      <c r="W57" s="1390"/>
      <c r="X57" s="1364"/>
      <c r="Y57" s="1390"/>
      <c r="Z57" s="1364"/>
      <c r="AA57" s="1390"/>
      <c r="AB57" s="1364"/>
      <c r="AC57" s="1390"/>
      <c r="AD57" s="1364"/>
      <c r="AE57" s="1364"/>
      <c r="AF57" s="1364"/>
      <c r="AG57" s="1360"/>
      <c r="AH57" s="1366"/>
      <c r="AI57" s="1368"/>
      <c r="AJ57" s="1370"/>
      <c r="AK57" s="1340"/>
      <c r="AL57" s="1344"/>
      <c r="AM57" s="1314"/>
      <c r="AN57" s="1314"/>
      <c r="AO57" s="1362"/>
      <c r="AP57" s="1314"/>
      <c r="AQ57" s="1318"/>
      <c r="AR57" s="1314"/>
      <c r="AS57" s="490"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4"/>
      <c r="AU57" s="1303"/>
      <c r="AV57" s="555" t="str">
        <f>IF('別紙様式2-2（４・５月分）'!N46="","",'別紙様式2-2（４・５月分）'!N46)</f>
        <v/>
      </c>
      <c r="AW57" s="1305"/>
      <c r="AX57"/>
      <c r="AY57"/>
      <c r="AZ57"/>
      <c r="BA57"/>
      <c r="BB57"/>
      <c r="BC57"/>
      <c r="BD57"/>
      <c r="BE57"/>
      <c r="BF57"/>
      <c r="BG57"/>
      <c r="BH57"/>
      <c r="BI57"/>
      <c r="BJ57"/>
      <c r="BK57" s="452" t="str">
        <f>G54</f>
        <v/>
      </c>
    </row>
    <row r="58" spans="1:63" ht="30" customHeight="1">
      <c r="A58" s="1293">
        <v>12</v>
      </c>
      <c r="B58" s="1235" t="str">
        <f>IF(基本情報入力シート!C65="","",基本情報入力シート!C65)</f>
        <v/>
      </c>
      <c r="C58" s="1236"/>
      <c r="D58" s="1236"/>
      <c r="E58" s="1236"/>
      <c r="F58" s="1237"/>
      <c r="G58" s="1252" t="str">
        <f>IF(基本情報入力シート!M65="","",基本情報入力シート!M65)</f>
        <v/>
      </c>
      <c r="H58" s="1252" t="str">
        <f>IF(基本情報入力シート!R65="","",基本情報入力シート!R65)</f>
        <v/>
      </c>
      <c r="I58" s="1252" t="str">
        <f>IF(基本情報入力シート!W65="","",基本情報入力シート!W65)</f>
        <v/>
      </c>
      <c r="J58" s="1415" t="str">
        <f>IF(基本情報入力シート!X65="","",基本情報入力シート!X65)</f>
        <v/>
      </c>
      <c r="K58" s="1252" t="str">
        <f>IF(基本情報入力シート!Y65="","",基本情報入力シート!Y65)</f>
        <v/>
      </c>
      <c r="L58" s="1276" t="str">
        <f>IF(基本情報入力シート!AB65="","",基本情報入力シート!AB65)</f>
        <v/>
      </c>
      <c r="M58" s="550" t="str">
        <f>IF('別紙様式2-2（４・５月分）'!P47="","",'別紙様式2-2（４・５月分）'!P47)</f>
        <v/>
      </c>
      <c r="N58" s="1391" t="str">
        <f>IF(SUM('別紙様式2-2（４・５月分）'!Q47:Q49)=0,"",SUM('別紙様式2-2（４・５月分）'!Q47:Q49))</f>
        <v/>
      </c>
      <c r="O58" s="1395" t="str">
        <f>IFERROR(VLOOKUP('別紙様式2-2（４・５月分）'!AQ47,【参考】数式用!$AR$5:$AS$22,2,FALSE),"")</f>
        <v/>
      </c>
      <c r="P58" s="1396"/>
      <c r="Q58" s="1397"/>
      <c r="R58" s="1401" t="str">
        <f>IFERROR(VLOOKUP(K58,【参考】数式用!$A$5:$AB$37,MATCH(O58,【参考】数式用!$B$4:$AB$4,0)+1,0),"")</f>
        <v/>
      </c>
      <c r="S58" s="1403" t="s">
        <v>2021</v>
      </c>
      <c r="T58" s="1405"/>
      <c r="U58" s="1407" t="str">
        <f>IFERROR(VLOOKUP(K58,【参考】数式用!$A$5:$AB$37,MATCH(T58,【参考】数式用!$B$4:$AB$4,0)+1,0),"")</f>
        <v/>
      </c>
      <c r="V58" s="1409" t="s">
        <v>15</v>
      </c>
      <c r="W58" s="1347">
        <v>6</v>
      </c>
      <c r="X58" s="1349" t="s">
        <v>10</v>
      </c>
      <c r="Y58" s="1347">
        <v>6</v>
      </c>
      <c r="Z58" s="1349" t="s">
        <v>38</v>
      </c>
      <c r="AA58" s="1347">
        <v>7</v>
      </c>
      <c r="AB58" s="1349" t="s">
        <v>10</v>
      </c>
      <c r="AC58" s="1347">
        <v>3</v>
      </c>
      <c r="AD58" s="1349" t="s">
        <v>13</v>
      </c>
      <c r="AE58" s="1349" t="s">
        <v>20</v>
      </c>
      <c r="AF58" s="1349">
        <f>IF(W58&gt;=1,(AA58*12+AC58)-(W58*12+Y58)+1,"")</f>
        <v>10</v>
      </c>
      <c r="AG58" s="1351" t="s">
        <v>33</v>
      </c>
      <c r="AH58" s="1353" t="str">
        <f t="shared" ref="AH58" si="112">IFERROR(ROUNDDOWN(ROUND(L58*U58,0),0)*AF58,"")</f>
        <v/>
      </c>
      <c r="AI58" s="1355" t="str">
        <f t="shared" ref="AI58" si="113">IFERROR(ROUNDDOWN(ROUND((L58*(U58-AW58)),0),0)*AF58,"")</f>
        <v/>
      </c>
      <c r="AJ58" s="1357">
        <f>IFERROR(IF(OR(M58="",M59="",M61=""),0,ROUNDDOWN(ROUNDDOWN(ROUND(L58*VLOOKUP(K58,【参考】数式用!$A$5:$AB$37,MATCH("新加算Ⅳ",【参考】数式用!$B$4:$AB$4,0)+1,0),0),0)*AF58*0.5,0)),"")</f>
        <v>0</v>
      </c>
      <c r="AK58" s="1341"/>
      <c r="AL58" s="1345">
        <f>IFERROR(IF(OR(M61="ベア加算",M61=""),0, IF(OR(T58="新加算Ⅰ",T58="新加算Ⅱ",T58="新加算Ⅲ",T58="新加算Ⅳ"),ROUNDDOWN(ROUND(L58*VLOOKUP(K58,【参考】数式用!$A$5:$I$37,MATCH("ベア加算",【参考】数式用!$B$4:$I$4,0)+1,0),0),0)*AF58,0)),"")</f>
        <v>0</v>
      </c>
      <c r="AM58" s="1331"/>
      <c r="AN58" s="1337"/>
      <c r="AO58" s="1333"/>
      <c r="AP58" s="1333"/>
      <c r="AQ58" s="1335"/>
      <c r="AR58" s="1315"/>
      <c r="AS58" s="465" t="str">
        <f t="shared" ref="AS58" si="114">IF(AU58="","",IF(U58&lt;N58,"！加算の要件上は問題ありませんが、令和６年４・５月と比較して令和６年６月に加算率が下がる計画になっています。",""))</f>
        <v/>
      </c>
      <c r="AT58" s="554"/>
      <c r="AU58" s="1303" t="str">
        <f>IF(K58&lt;&gt;"","V列に色付け","")</f>
        <v/>
      </c>
      <c r="AV58" s="555" t="str">
        <f>IF('別紙様式2-2（４・５月分）'!N47="","",'別紙様式2-2（４・５月分）'!N47)</f>
        <v/>
      </c>
      <c r="AW58" s="1305" t="str">
        <f>IF(SUM('別紙様式2-2（４・５月分）'!O47:O49)=0,"",SUM('別紙様式2-2（４・５月分）'!O47:O49))</f>
        <v/>
      </c>
      <c r="AX58" s="1306" t="str">
        <f>IFERROR(VLOOKUP(K58,【参考】数式用!$AH$2:$AI$34,2,FALSE),"")</f>
        <v/>
      </c>
      <c r="AY58" s="1222" t="s">
        <v>1959</v>
      </c>
      <c r="AZ58" s="1222" t="s">
        <v>1960</v>
      </c>
      <c r="BA58" s="1222" t="s">
        <v>1961</v>
      </c>
      <c r="BB58" s="1222" t="s">
        <v>1962</v>
      </c>
      <c r="BC58" s="1222" t="str">
        <f>IF(AND(O58&lt;&gt;"新加算Ⅰ",O58&lt;&gt;"新加算Ⅱ",O58&lt;&gt;"新加算Ⅲ",O58&lt;&gt;"新加算Ⅳ"),O58,IF(P60&lt;&gt;"",P60,""))</f>
        <v/>
      </c>
      <c r="BD58" s="1222"/>
      <c r="BE58" s="1222" t="str">
        <f t="shared" ref="BE58" si="115">IF(AL58&lt;&gt;0,IF(AM58="○","入力済","未入力"),"")</f>
        <v/>
      </c>
      <c r="BF58" s="1222"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2" t="str">
        <f>IF(OR(T58="新加算Ⅴ（７）",T58="新加算Ⅴ（９）",T58="新加算Ⅴ（10）",T58="新加算Ⅴ（12）",T58="新加算Ⅴ（13）",T58="新加算Ⅴ（14）"),IF(OR(AO58="○",AO58="令和６年度中に満たす"),"入力済","未入力"),"")</f>
        <v/>
      </c>
      <c r="BH58" s="1323" t="str">
        <f t="shared" ref="BH58" si="116">IF(OR(T58="新加算Ⅰ",T58="新加算Ⅱ",T58="新加算Ⅲ",T58="新加算Ⅴ（１）",T58="新加算Ⅴ（３）",T58="新加算Ⅴ（８）"),IF(OR(AP58="○",AP58="令和６年度中に満たす"),"入力済","未入力"),"")</f>
        <v/>
      </c>
      <c r="BI58" s="1325" t="str">
        <f t="shared" ref="BI58" si="117">IF(OR(T58="新加算Ⅰ",T58="新加算Ⅱ",T58="新加算Ⅴ（１）",T58="新加算Ⅴ（２）",T58="新加算Ⅴ（３）",T58="新加算Ⅴ（４）",T58="新加算Ⅴ（５）",T58="新加算Ⅴ（６）",T58="新加算Ⅴ（７）",T58="新加算Ⅴ（９）",T58="新加算Ⅴ（10）",T58="新加算Ⅴ（12）"),1,"")</f>
        <v/>
      </c>
      <c r="BJ58" s="1303" t="str">
        <f>IF(OR(T58="新加算Ⅰ",T58="新加算Ⅴ（１）",T58="新加算Ⅴ（２）",T58="新加算Ⅴ（５）",T58="新加算Ⅴ（７）",T58="新加算Ⅴ（10）"),IF(AR58="","未入力","入力済"),"")</f>
        <v/>
      </c>
      <c r="BK58" s="452" t="str">
        <f>G58</f>
        <v/>
      </c>
    </row>
    <row r="59" spans="1:63" ht="15" customHeight="1">
      <c r="A59" s="1267"/>
      <c r="B59" s="1235"/>
      <c r="C59" s="1236"/>
      <c r="D59" s="1236"/>
      <c r="E59" s="1236"/>
      <c r="F59" s="1237"/>
      <c r="G59" s="1252"/>
      <c r="H59" s="1252"/>
      <c r="I59" s="1252"/>
      <c r="J59" s="1415"/>
      <c r="K59" s="1252"/>
      <c r="L59" s="1276"/>
      <c r="M59" s="1371" t="str">
        <f>IF('別紙様式2-2（４・５月分）'!P48="","",'別紙様式2-2（４・５月分）'!P48)</f>
        <v/>
      </c>
      <c r="N59" s="1392"/>
      <c r="O59" s="1398"/>
      <c r="P59" s="1399"/>
      <c r="Q59" s="1400"/>
      <c r="R59" s="1402"/>
      <c r="S59" s="1404"/>
      <c r="T59" s="1406"/>
      <c r="U59" s="1408"/>
      <c r="V59" s="1410"/>
      <c r="W59" s="1348"/>
      <c r="X59" s="1350"/>
      <c r="Y59" s="1348"/>
      <c r="Z59" s="1350"/>
      <c r="AA59" s="1348"/>
      <c r="AB59" s="1350"/>
      <c r="AC59" s="1348"/>
      <c r="AD59" s="1350"/>
      <c r="AE59" s="1350"/>
      <c r="AF59" s="1350"/>
      <c r="AG59" s="1352"/>
      <c r="AH59" s="1354"/>
      <c r="AI59" s="1356"/>
      <c r="AJ59" s="1358"/>
      <c r="AK59" s="1342"/>
      <c r="AL59" s="1346"/>
      <c r="AM59" s="1332"/>
      <c r="AN59" s="1338"/>
      <c r="AO59" s="1334"/>
      <c r="AP59" s="1334"/>
      <c r="AQ59" s="1336"/>
      <c r="AR59" s="1316"/>
      <c r="AS59" s="1302"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4"/>
      <c r="AU59" s="1303"/>
      <c r="AV59" s="1304" t="str">
        <f>IF('別紙様式2-2（４・５月分）'!N48="","",'別紙様式2-2（４・５月分）'!N48)</f>
        <v/>
      </c>
      <c r="AW59" s="1305"/>
      <c r="AX59" s="1306"/>
      <c r="AY59" s="1222"/>
      <c r="AZ59" s="1222"/>
      <c r="BA59" s="1222"/>
      <c r="BB59" s="1222"/>
      <c r="BC59" s="1222"/>
      <c r="BD59" s="1222"/>
      <c r="BE59" s="1222"/>
      <c r="BF59" s="1222"/>
      <c r="BG59" s="1222"/>
      <c r="BH59" s="1324"/>
      <c r="BI59" s="1326"/>
      <c r="BJ59" s="1303"/>
      <c r="BK59" s="452" t="str">
        <f>G58</f>
        <v/>
      </c>
    </row>
    <row r="60" spans="1:63" ht="15" customHeight="1">
      <c r="A60" s="1295"/>
      <c r="B60" s="1235"/>
      <c r="C60" s="1236"/>
      <c r="D60" s="1236"/>
      <c r="E60" s="1236"/>
      <c r="F60" s="1237"/>
      <c r="G60" s="1252"/>
      <c r="H60" s="1252"/>
      <c r="I60" s="1252"/>
      <c r="J60" s="1415"/>
      <c r="K60" s="1252"/>
      <c r="L60" s="1276"/>
      <c r="M60" s="1372"/>
      <c r="N60" s="1393"/>
      <c r="O60" s="1373" t="s">
        <v>2025</v>
      </c>
      <c r="P60" s="1375" t="str">
        <f>IFERROR(VLOOKUP('別紙様式2-2（４・５月分）'!AQ47,【参考】数式用!$AR$5:$AT$22,3,FALSE),"")</f>
        <v/>
      </c>
      <c r="Q60" s="1377" t="s">
        <v>2036</v>
      </c>
      <c r="R60" s="1379" t="str">
        <f>IFERROR(VLOOKUP(K58,【参考】数式用!$A$5:$AB$37,MATCH(P60,【参考】数式用!$B$4:$AB$4,0)+1,0),"")</f>
        <v/>
      </c>
      <c r="S60" s="1381" t="s">
        <v>161</v>
      </c>
      <c r="T60" s="1383"/>
      <c r="U60" s="1385" t="str">
        <f>IFERROR(VLOOKUP(K58,【参考】数式用!$A$5:$AB$37,MATCH(T60,【参考】数式用!$B$4:$AB$4,0)+1,0),"")</f>
        <v/>
      </c>
      <c r="V60" s="1387" t="s">
        <v>15</v>
      </c>
      <c r="W60" s="1389">
        <v>7</v>
      </c>
      <c r="X60" s="1363" t="s">
        <v>10</v>
      </c>
      <c r="Y60" s="1389">
        <v>4</v>
      </c>
      <c r="Z60" s="1363" t="s">
        <v>38</v>
      </c>
      <c r="AA60" s="1389">
        <v>8</v>
      </c>
      <c r="AB60" s="1363" t="s">
        <v>10</v>
      </c>
      <c r="AC60" s="1389">
        <v>3</v>
      </c>
      <c r="AD60" s="1363" t="s">
        <v>13</v>
      </c>
      <c r="AE60" s="1363" t="s">
        <v>20</v>
      </c>
      <c r="AF60" s="1363">
        <f>IF(W60&gt;=1,(AA60*12+AC60)-(W60*12+Y60)+1,"")</f>
        <v>12</v>
      </c>
      <c r="AG60" s="1359" t="s">
        <v>33</v>
      </c>
      <c r="AH60" s="1365" t="str">
        <f t="shared" ref="AH60" si="119">IFERROR(ROUNDDOWN(ROUND(L58*U60,0),0)*AF60,"")</f>
        <v/>
      </c>
      <c r="AI60" s="1367" t="str">
        <f t="shared" ref="AI60" si="120">IFERROR(ROUNDDOWN(ROUND((L58*(U60-AW58)),0),0)*AF60,"")</f>
        <v/>
      </c>
      <c r="AJ60" s="1369">
        <f>IFERROR(IF(OR(M58="",M59="",M61=""),0,ROUNDDOWN(ROUNDDOWN(ROUND(L58*VLOOKUP(K58,【参考】数式用!$A$5:$AB$37,MATCH("新加算Ⅳ",【参考】数式用!$B$4:$AB$4,0)+1,0),0),0)*AF60*0.5,0)),"")</f>
        <v>0</v>
      </c>
      <c r="AK60" s="1339" t="str">
        <f t="shared" ref="AK60" si="121">IF(T60&lt;&gt;"","新規に適用","")</f>
        <v/>
      </c>
      <c r="AL60" s="1343">
        <f>IFERROR(IF(OR(M61="ベア加算",M61=""),0, IF(OR(T58="新加算Ⅰ",T58="新加算Ⅱ",T58="新加算Ⅲ",T58="新加算Ⅳ"),0,ROUNDDOWN(ROUND(L58*VLOOKUP(K58,【参考】数式用!$A$5:$I$37,MATCH("ベア加算",【参考】数式用!$B$4:$I$4,0)+1,0),0),0)*AF60)),"")</f>
        <v>0</v>
      </c>
      <c r="AM60" s="1313" t="str">
        <f>IF(AND(T60&lt;&gt;"",AM58=""),"新規に適用",IF(AND(T60&lt;&gt;"",AM58&lt;&gt;""),"継続で適用",""))</f>
        <v/>
      </c>
      <c r="AN60" s="1313" t="str">
        <f>IF(AND(T60&lt;&gt;"",AN58=""),"新規に適用",IF(AND(T60&lt;&gt;"",AN58&lt;&gt;""),"継続で適用",""))</f>
        <v/>
      </c>
      <c r="AO60" s="1361"/>
      <c r="AP60" s="1313" t="str">
        <f>IF(AND(T60&lt;&gt;"",AP58=""),"新規に適用",IF(AND(T60&lt;&gt;"",AP58&lt;&gt;""),"継続で適用",""))</f>
        <v/>
      </c>
      <c r="AQ60" s="1317" t="str">
        <f t="shared" si="66"/>
        <v/>
      </c>
      <c r="AR60" s="1313" t="str">
        <f>IF(AND(T60&lt;&gt;"",AR58=""),"新規に適用",IF(AND(T60&lt;&gt;"",AR58&lt;&gt;""),"継続で適用",""))</f>
        <v/>
      </c>
      <c r="AS60" s="1302"/>
      <c r="AT60" s="554"/>
      <c r="AU60" s="1303" t="str">
        <f>IF(K58&lt;&gt;"","V列に色付け","")</f>
        <v/>
      </c>
      <c r="AV60" s="1304"/>
      <c r="AW60" s="1305"/>
      <c r="AX60"/>
      <c r="AY60"/>
      <c r="AZ60"/>
      <c r="BA60"/>
      <c r="BB60"/>
      <c r="BC60"/>
      <c r="BD60"/>
      <c r="BE60"/>
      <c r="BF60"/>
      <c r="BG60"/>
      <c r="BH60"/>
      <c r="BI60"/>
      <c r="BJ60"/>
      <c r="BK60" s="452" t="str">
        <f>G58</f>
        <v/>
      </c>
    </row>
    <row r="61" spans="1:63" ht="30" customHeight="1" thickBot="1">
      <c r="A61" s="1268"/>
      <c r="B61" s="1411"/>
      <c r="C61" s="1412"/>
      <c r="D61" s="1412"/>
      <c r="E61" s="1412"/>
      <c r="F61" s="1413"/>
      <c r="G61" s="1253"/>
      <c r="H61" s="1253"/>
      <c r="I61" s="1253"/>
      <c r="J61" s="1416"/>
      <c r="K61" s="1253"/>
      <c r="L61" s="1277"/>
      <c r="M61" s="553" t="str">
        <f>IF('別紙様式2-2（４・５月分）'!P49="","",'別紙様式2-2（４・５月分）'!P49)</f>
        <v/>
      </c>
      <c r="N61" s="1394"/>
      <c r="O61" s="1374"/>
      <c r="P61" s="1376"/>
      <c r="Q61" s="1378"/>
      <c r="R61" s="1380"/>
      <c r="S61" s="1382"/>
      <c r="T61" s="1384"/>
      <c r="U61" s="1386"/>
      <c r="V61" s="1388"/>
      <c r="W61" s="1390"/>
      <c r="X61" s="1364"/>
      <c r="Y61" s="1390"/>
      <c r="Z61" s="1364"/>
      <c r="AA61" s="1390"/>
      <c r="AB61" s="1364"/>
      <c r="AC61" s="1390"/>
      <c r="AD61" s="1364"/>
      <c r="AE61" s="1364"/>
      <c r="AF61" s="1364"/>
      <c r="AG61" s="1360"/>
      <c r="AH61" s="1366"/>
      <c r="AI61" s="1368"/>
      <c r="AJ61" s="1370"/>
      <c r="AK61" s="1340"/>
      <c r="AL61" s="1344"/>
      <c r="AM61" s="1314"/>
      <c r="AN61" s="1314"/>
      <c r="AO61" s="1362"/>
      <c r="AP61" s="1314"/>
      <c r="AQ61" s="1318"/>
      <c r="AR61" s="1314"/>
      <c r="AS61" s="490"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4"/>
      <c r="AU61" s="1303"/>
      <c r="AV61" s="555" t="str">
        <f>IF('別紙様式2-2（４・５月分）'!N49="","",'別紙様式2-2（４・５月分）'!N49)</f>
        <v/>
      </c>
      <c r="AW61" s="1305"/>
      <c r="AX61"/>
      <c r="AY61"/>
      <c r="AZ61"/>
      <c r="BA61"/>
      <c r="BB61"/>
      <c r="BC61"/>
      <c r="BD61"/>
      <c r="BE61"/>
      <c r="BF61"/>
      <c r="BG61"/>
      <c r="BH61"/>
      <c r="BI61"/>
      <c r="BJ61"/>
      <c r="BK61" s="452" t="str">
        <f>G58</f>
        <v/>
      </c>
    </row>
    <row r="62" spans="1:63" ht="30" customHeight="1">
      <c r="A62" s="1266">
        <v>13</v>
      </c>
      <c r="B62" s="1232" t="str">
        <f>IF(基本情報入力シート!C66="","",基本情報入力シート!C66)</f>
        <v/>
      </c>
      <c r="C62" s="1233"/>
      <c r="D62" s="1233"/>
      <c r="E62" s="1233"/>
      <c r="F62" s="1234"/>
      <c r="G62" s="1251" t="str">
        <f>IF(基本情報入力シート!M66="","",基本情報入力シート!M66)</f>
        <v/>
      </c>
      <c r="H62" s="1251" t="str">
        <f>IF(基本情報入力シート!R66="","",基本情報入力シート!R66)</f>
        <v/>
      </c>
      <c r="I62" s="1251" t="str">
        <f>IF(基本情報入力シート!W66="","",基本情報入力シート!W66)</f>
        <v/>
      </c>
      <c r="J62" s="1414" t="str">
        <f>IF(基本情報入力シート!X66="","",基本情報入力シート!X66)</f>
        <v/>
      </c>
      <c r="K62" s="1251" t="str">
        <f>IF(基本情報入力シート!Y66="","",基本情報入力シート!Y66)</f>
        <v/>
      </c>
      <c r="L62" s="1275" t="str">
        <f>IF(基本情報入力シート!AB66="","",基本情報入力シート!AB66)</f>
        <v/>
      </c>
      <c r="M62" s="550" t="str">
        <f>IF('別紙様式2-2（４・５月分）'!P50="","",'別紙様式2-2（４・５月分）'!P50)</f>
        <v/>
      </c>
      <c r="N62" s="1391" t="str">
        <f>IF(SUM('別紙様式2-2（４・５月分）'!Q50:Q52)=0,"",SUM('別紙様式2-2（４・５月分）'!Q50:Q52))</f>
        <v/>
      </c>
      <c r="O62" s="1395" t="str">
        <f>IFERROR(VLOOKUP('別紙様式2-2（４・５月分）'!AQ50,【参考】数式用!$AR$5:$AS$22,2,FALSE),"")</f>
        <v/>
      </c>
      <c r="P62" s="1396"/>
      <c r="Q62" s="1397"/>
      <c r="R62" s="1401" t="str">
        <f>IFERROR(VLOOKUP(K62,【参考】数式用!$A$5:$AB$37,MATCH(O62,【参考】数式用!$B$4:$AB$4,0)+1,0),"")</f>
        <v/>
      </c>
      <c r="S62" s="1403" t="s">
        <v>2021</v>
      </c>
      <c r="T62" s="1405"/>
      <c r="U62" s="1407" t="str">
        <f>IFERROR(VLOOKUP(K62,【参考】数式用!$A$5:$AB$37,MATCH(T62,【参考】数式用!$B$4:$AB$4,0)+1,0),"")</f>
        <v/>
      </c>
      <c r="V62" s="1409" t="s">
        <v>15</v>
      </c>
      <c r="W62" s="1347">
        <v>6</v>
      </c>
      <c r="X62" s="1349" t="s">
        <v>10</v>
      </c>
      <c r="Y62" s="1347">
        <v>6</v>
      </c>
      <c r="Z62" s="1349" t="s">
        <v>38</v>
      </c>
      <c r="AA62" s="1347">
        <v>7</v>
      </c>
      <c r="AB62" s="1349" t="s">
        <v>10</v>
      </c>
      <c r="AC62" s="1347">
        <v>3</v>
      </c>
      <c r="AD62" s="1349" t="s">
        <v>13</v>
      </c>
      <c r="AE62" s="1349" t="s">
        <v>20</v>
      </c>
      <c r="AF62" s="1349">
        <f>IF(W62&gt;=1,(AA62*12+AC62)-(W62*12+Y62)+1,"")</f>
        <v>10</v>
      </c>
      <c r="AG62" s="1351" t="s">
        <v>33</v>
      </c>
      <c r="AH62" s="1353" t="str">
        <f t="shared" ref="AH62" si="123">IFERROR(ROUNDDOWN(ROUND(L62*U62,0),0)*AF62,"")</f>
        <v/>
      </c>
      <c r="AI62" s="1355" t="str">
        <f t="shared" ref="AI62" si="124">IFERROR(ROUNDDOWN(ROUND((L62*(U62-AW62)),0),0)*AF62,"")</f>
        <v/>
      </c>
      <c r="AJ62" s="1357">
        <f>IFERROR(IF(OR(M62="",M63="",M65=""),0,ROUNDDOWN(ROUNDDOWN(ROUND(L62*VLOOKUP(K62,【参考】数式用!$A$5:$AB$37,MATCH("新加算Ⅳ",【参考】数式用!$B$4:$AB$4,0)+1,0),0),0)*AF62*0.5,0)),"")</f>
        <v>0</v>
      </c>
      <c r="AK62" s="1341"/>
      <c r="AL62" s="1345">
        <f>IFERROR(IF(OR(M65="ベア加算",M65=""),0, IF(OR(T62="新加算Ⅰ",T62="新加算Ⅱ",T62="新加算Ⅲ",T62="新加算Ⅳ"),ROUNDDOWN(ROUND(L62*VLOOKUP(K62,【参考】数式用!$A$5:$I$37,MATCH("ベア加算",【参考】数式用!$B$4:$I$4,0)+1,0),0),0)*AF62,0)),"")</f>
        <v>0</v>
      </c>
      <c r="AM62" s="1331"/>
      <c r="AN62" s="1337"/>
      <c r="AO62" s="1333"/>
      <c r="AP62" s="1333"/>
      <c r="AQ62" s="1335"/>
      <c r="AR62" s="1315"/>
      <c r="AS62" s="465" t="str">
        <f t="shared" ref="AS62" si="125">IF(AU62="","",IF(U62&lt;N62,"！加算の要件上は問題ありませんが、令和６年４・５月と比較して令和６年６月に加算率が下がる計画になっています。",""))</f>
        <v/>
      </c>
      <c r="AT62" s="554"/>
      <c r="AU62" s="1303" t="str">
        <f>IF(K62&lt;&gt;"","V列に色付け","")</f>
        <v/>
      </c>
      <c r="AV62" s="555" t="str">
        <f>IF('別紙様式2-2（４・５月分）'!N50="","",'別紙様式2-2（４・５月分）'!N50)</f>
        <v/>
      </c>
      <c r="AW62" s="1305" t="str">
        <f>IF(SUM('別紙様式2-2（４・５月分）'!O50:O52)=0,"",SUM('別紙様式2-2（４・５月分）'!O50:O52))</f>
        <v/>
      </c>
      <c r="AX62" s="1306" t="str">
        <f>IFERROR(VLOOKUP(K62,【参考】数式用!$AH$2:$AI$34,2,FALSE),"")</f>
        <v/>
      </c>
      <c r="AY62" s="1222" t="s">
        <v>1959</v>
      </c>
      <c r="AZ62" s="1222" t="s">
        <v>1960</v>
      </c>
      <c r="BA62" s="1222" t="s">
        <v>1961</v>
      </c>
      <c r="BB62" s="1222" t="s">
        <v>1962</v>
      </c>
      <c r="BC62" s="1222" t="str">
        <f>IF(AND(O62&lt;&gt;"新加算Ⅰ",O62&lt;&gt;"新加算Ⅱ",O62&lt;&gt;"新加算Ⅲ",O62&lt;&gt;"新加算Ⅳ"),O62,IF(P64&lt;&gt;"",P64,""))</f>
        <v/>
      </c>
      <c r="BD62" s="1222"/>
      <c r="BE62" s="1222" t="str">
        <f t="shared" ref="BE62" si="126">IF(AL62&lt;&gt;0,IF(AM62="○","入力済","未入力"),"")</f>
        <v/>
      </c>
      <c r="BF62" s="1222"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2" t="str">
        <f>IF(OR(T62="新加算Ⅴ（７）",T62="新加算Ⅴ（９）",T62="新加算Ⅴ（10）",T62="新加算Ⅴ（12）",T62="新加算Ⅴ（13）",T62="新加算Ⅴ（14）"),IF(OR(AO62="○",AO62="令和６年度中に満たす"),"入力済","未入力"),"")</f>
        <v/>
      </c>
      <c r="BH62" s="1323" t="str">
        <f t="shared" ref="BH62" si="127">IF(OR(T62="新加算Ⅰ",T62="新加算Ⅱ",T62="新加算Ⅲ",T62="新加算Ⅴ（１）",T62="新加算Ⅴ（３）",T62="新加算Ⅴ（８）"),IF(OR(AP62="○",AP62="令和６年度中に満たす"),"入力済","未入力"),"")</f>
        <v/>
      </c>
      <c r="BI62" s="1325" t="str">
        <f t="shared" ref="BI62" si="128">IF(OR(T62="新加算Ⅰ",T62="新加算Ⅱ",T62="新加算Ⅴ（１）",T62="新加算Ⅴ（２）",T62="新加算Ⅴ（３）",T62="新加算Ⅴ（４）",T62="新加算Ⅴ（５）",T62="新加算Ⅴ（６）",T62="新加算Ⅴ（７）",T62="新加算Ⅴ（９）",T62="新加算Ⅴ（10）",T62="新加算Ⅴ（12）"),1,"")</f>
        <v/>
      </c>
      <c r="BJ62" s="1303" t="str">
        <f>IF(OR(T62="新加算Ⅰ",T62="新加算Ⅴ（１）",T62="新加算Ⅴ（２）",T62="新加算Ⅴ（５）",T62="新加算Ⅴ（７）",T62="新加算Ⅴ（10）"),IF(AR62="","未入力","入力済"),"")</f>
        <v/>
      </c>
      <c r="BK62" s="452" t="str">
        <f>G62</f>
        <v/>
      </c>
    </row>
    <row r="63" spans="1:63" ht="15" customHeight="1">
      <c r="A63" s="1267"/>
      <c r="B63" s="1235"/>
      <c r="C63" s="1236"/>
      <c r="D63" s="1236"/>
      <c r="E63" s="1236"/>
      <c r="F63" s="1237"/>
      <c r="G63" s="1252"/>
      <c r="H63" s="1252"/>
      <c r="I63" s="1252"/>
      <c r="J63" s="1415"/>
      <c r="K63" s="1252"/>
      <c r="L63" s="1276"/>
      <c r="M63" s="1371" t="str">
        <f>IF('別紙様式2-2（４・５月分）'!P51="","",'別紙様式2-2（４・５月分）'!P51)</f>
        <v/>
      </c>
      <c r="N63" s="1392"/>
      <c r="O63" s="1398"/>
      <c r="P63" s="1399"/>
      <c r="Q63" s="1400"/>
      <c r="R63" s="1402"/>
      <c r="S63" s="1404"/>
      <c r="T63" s="1406"/>
      <c r="U63" s="1408"/>
      <c r="V63" s="1410"/>
      <c r="W63" s="1348"/>
      <c r="X63" s="1350"/>
      <c r="Y63" s="1348"/>
      <c r="Z63" s="1350"/>
      <c r="AA63" s="1348"/>
      <c r="AB63" s="1350"/>
      <c r="AC63" s="1348"/>
      <c r="AD63" s="1350"/>
      <c r="AE63" s="1350"/>
      <c r="AF63" s="1350"/>
      <c r="AG63" s="1352"/>
      <c r="AH63" s="1354"/>
      <c r="AI63" s="1356"/>
      <c r="AJ63" s="1358"/>
      <c r="AK63" s="1342"/>
      <c r="AL63" s="1346"/>
      <c r="AM63" s="1332"/>
      <c r="AN63" s="1338"/>
      <c r="AO63" s="1334"/>
      <c r="AP63" s="1334"/>
      <c r="AQ63" s="1336"/>
      <c r="AR63" s="1316"/>
      <c r="AS63" s="1302"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4"/>
      <c r="AU63" s="1303"/>
      <c r="AV63" s="1304" t="str">
        <f>IF('別紙様式2-2（４・５月分）'!N51="","",'別紙様式2-2（４・５月分）'!N51)</f>
        <v/>
      </c>
      <c r="AW63" s="1305"/>
      <c r="AX63" s="1306"/>
      <c r="AY63" s="1222"/>
      <c r="AZ63" s="1222"/>
      <c r="BA63" s="1222"/>
      <c r="BB63" s="1222"/>
      <c r="BC63" s="1222"/>
      <c r="BD63" s="1222"/>
      <c r="BE63" s="1222"/>
      <c r="BF63" s="1222"/>
      <c r="BG63" s="1222"/>
      <c r="BH63" s="1324"/>
      <c r="BI63" s="1326"/>
      <c r="BJ63" s="1303"/>
      <c r="BK63" s="452" t="str">
        <f>G62</f>
        <v/>
      </c>
    </row>
    <row r="64" spans="1:63" ht="15" customHeight="1">
      <c r="A64" s="1295"/>
      <c r="B64" s="1235"/>
      <c r="C64" s="1236"/>
      <c r="D64" s="1236"/>
      <c r="E64" s="1236"/>
      <c r="F64" s="1237"/>
      <c r="G64" s="1252"/>
      <c r="H64" s="1252"/>
      <c r="I64" s="1252"/>
      <c r="J64" s="1415"/>
      <c r="K64" s="1252"/>
      <c r="L64" s="1276"/>
      <c r="M64" s="1372"/>
      <c r="N64" s="1393"/>
      <c r="O64" s="1373" t="s">
        <v>2025</v>
      </c>
      <c r="P64" s="1375" t="str">
        <f>IFERROR(VLOOKUP('別紙様式2-2（４・５月分）'!AQ50,【参考】数式用!$AR$5:$AT$22,3,FALSE),"")</f>
        <v/>
      </c>
      <c r="Q64" s="1377" t="s">
        <v>2036</v>
      </c>
      <c r="R64" s="1379" t="str">
        <f>IFERROR(VLOOKUP(K62,【参考】数式用!$A$5:$AB$37,MATCH(P64,【参考】数式用!$B$4:$AB$4,0)+1,0),"")</f>
        <v/>
      </c>
      <c r="S64" s="1381" t="s">
        <v>161</v>
      </c>
      <c r="T64" s="1383"/>
      <c r="U64" s="1385" t="str">
        <f>IFERROR(VLOOKUP(K62,【参考】数式用!$A$5:$AB$37,MATCH(T64,【参考】数式用!$B$4:$AB$4,0)+1,0),"")</f>
        <v/>
      </c>
      <c r="V64" s="1387" t="s">
        <v>15</v>
      </c>
      <c r="W64" s="1389">
        <v>7</v>
      </c>
      <c r="X64" s="1363" t="s">
        <v>10</v>
      </c>
      <c r="Y64" s="1389">
        <v>4</v>
      </c>
      <c r="Z64" s="1363" t="s">
        <v>38</v>
      </c>
      <c r="AA64" s="1389">
        <v>8</v>
      </c>
      <c r="AB64" s="1363" t="s">
        <v>10</v>
      </c>
      <c r="AC64" s="1389">
        <v>3</v>
      </c>
      <c r="AD64" s="1363" t="s">
        <v>13</v>
      </c>
      <c r="AE64" s="1363" t="s">
        <v>20</v>
      </c>
      <c r="AF64" s="1363">
        <f>IF(W64&gt;=1,(AA64*12+AC64)-(W64*12+Y64)+1,"")</f>
        <v>12</v>
      </c>
      <c r="AG64" s="1359" t="s">
        <v>33</v>
      </c>
      <c r="AH64" s="1365" t="str">
        <f t="shared" ref="AH64" si="130">IFERROR(ROUNDDOWN(ROUND(L62*U64,0),0)*AF64,"")</f>
        <v/>
      </c>
      <c r="AI64" s="1367" t="str">
        <f t="shared" ref="AI64" si="131">IFERROR(ROUNDDOWN(ROUND((L62*(U64-AW62)),0),0)*AF64,"")</f>
        <v/>
      </c>
      <c r="AJ64" s="1369">
        <f>IFERROR(IF(OR(M62="",M63="",M65=""),0,ROUNDDOWN(ROUNDDOWN(ROUND(L62*VLOOKUP(K62,【参考】数式用!$A$5:$AB$37,MATCH("新加算Ⅳ",【参考】数式用!$B$4:$AB$4,0)+1,0),0),0)*AF64*0.5,0)),"")</f>
        <v>0</v>
      </c>
      <c r="AK64" s="1339" t="str">
        <f t="shared" ref="AK64" si="132">IF(T64&lt;&gt;"","新規に適用","")</f>
        <v/>
      </c>
      <c r="AL64" s="1343">
        <f>IFERROR(IF(OR(M65="ベア加算",M65=""),0, IF(OR(T62="新加算Ⅰ",T62="新加算Ⅱ",T62="新加算Ⅲ",T62="新加算Ⅳ"),0,ROUNDDOWN(ROUND(L62*VLOOKUP(K62,【参考】数式用!$A$5:$I$37,MATCH("ベア加算",【参考】数式用!$B$4:$I$4,0)+1,0),0),0)*AF64)),"")</f>
        <v>0</v>
      </c>
      <c r="AM64" s="1313" t="str">
        <f>IF(AND(T64&lt;&gt;"",AM62=""),"新規に適用",IF(AND(T64&lt;&gt;"",AM62&lt;&gt;""),"継続で適用",""))</f>
        <v/>
      </c>
      <c r="AN64" s="1313" t="str">
        <f>IF(AND(T64&lt;&gt;"",AN62=""),"新規に適用",IF(AND(T64&lt;&gt;"",AN62&lt;&gt;""),"継続で適用",""))</f>
        <v/>
      </c>
      <c r="AO64" s="1361"/>
      <c r="AP64" s="1313" t="str">
        <f>IF(AND(T64&lt;&gt;"",AP62=""),"新規に適用",IF(AND(T64&lt;&gt;"",AP62&lt;&gt;""),"継続で適用",""))</f>
        <v/>
      </c>
      <c r="AQ64" s="1317" t="str">
        <f t="shared" si="66"/>
        <v/>
      </c>
      <c r="AR64" s="1313" t="str">
        <f>IF(AND(T64&lt;&gt;"",AR62=""),"新規に適用",IF(AND(T64&lt;&gt;"",AR62&lt;&gt;""),"継続で適用",""))</f>
        <v/>
      </c>
      <c r="AS64" s="1302"/>
      <c r="AT64" s="554"/>
      <c r="AU64" s="1303" t="str">
        <f>IF(K62&lt;&gt;"","V列に色付け","")</f>
        <v/>
      </c>
      <c r="AV64" s="1304"/>
      <c r="AW64" s="1305"/>
      <c r="AX64"/>
      <c r="AY64"/>
      <c r="AZ64"/>
      <c r="BA64"/>
      <c r="BB64"/>
      <c r="BC64"/>
      <c r="BD64"/>
      <c r="BE64"/>
      <c r="BF64"/>
      <c r="BG64"/>
      <c r="BH64"/>
      <c r="BI64"/>
      <c r="BJ64"/>
      <c r="BK64" s="452" t="str">
        <f>G62</f>
        <v/>
      </c>
    </row>
    <row r="65" spans="1:63" ht="30" customHeight="1" thickBot="1">
      <c r="A65" s="1268"/>
      <c r="B65" s="1411"/>
      <c r="C65" s="1412"/>
      <c r="D65" s="1412"/>
      <c r="E65" s="1412"/>
      <c r="F65" s="1413"/>
      <c r="G65" s="1253"/>
      <c r="H65" s="1253"/>
      <c r="I65" s="1253"/>
      <c r="J65" s="1416"/>
      <c r="K65" s="1253"/>
      <c r="L65" s="1277"/>
      <c r="M65" s="553" t="str">
        <f>IF('別紙様式2-2（４・５月分）'!P52="","",'別紙様式2-2（４・５月分）'!P52)</f>
        <v/>
      </c>
      <c r="N65" s="1394"/>
      <c r="O65" s="1374"/>
      <c r="P65" s="1376"/>
      <c r="Q65" s="1378"/>
      <c r="R65" s="1380"/>
      <c r="S65" s="1382"/>
      <c r="T65" s="1384"/>
      <c r="U65" s="1386"/>
      <c r="V65" s="1388"/>
      <c r="W65" s="1390"/>
      <c r="X65" s="1364"/>
      <c r="Y65" s="1390"/>
      <c r="Z65" s="1364"/>
      <c r="AA65" s="1390"/>
      <c r="AB65" s="1364"/>
      <c r="AC65" s="1390"/>
      <c r="AD65" s="1364"/>
      <c r="AE65" s="1364"/>
      <c r="AF65" s="1364"/>
      <c r="AG65" s="1360"/>
      <c r="AH65" s="1366"/>
      <c r="AI65" s="1368"/>
      <c r="AJ65" s="1370"/>
      <c r="AK65" s="1340"/>
      <c r="AL65" s="1344"/>
      <c r="AM65" s="1314"/>
      <c r="AN65" s="1314"/>
      <c r="AO65" s="1362"/>
      <c r="AP65" s="1314"/>
      <c r="AQ65" s="1318"/>
      <c r="AR65" s="1314"/>
      <c r="AS65" s="490"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4"/>
      <c r="AU65" s="1303"/>
      <c r="AV65" s="555" t="str">
        <f>IF('別紙様式2-2（４・５月分）'!N52="","",'別紙様式2-2（４・５月分）'!N52)</f>
        <v/>
      </c>
      <c r="AW65" s="1305"/>
      <c r="AX65"/>
      <c r="AY65"/>
      <c r="AZ65"/>
      <c r="BA65"/>
      <c r="BB65"/>
      <c r="BC65"/>
      <c r="BD65"/>
      <c r="BE65"/>
      <c r="BF65"/>
      <c r="BG65"/>
      <c r="BH65"/>
      <c r="BI65"/>
      <c r="BJ65"/>
      <c r="BK65" s="452" t="str">
        <f>G62</f>
        <v/>
      </c>
    </row>
    <row r="66" spans="1:63" ht="30" customHeight="1">
      <c r="A66" s="1293">
        <v>14</v>
      </c>
      <c r="B66" s="1235" t="str">
        <f>IF(基本情報入力シート!C67="","",基本情報入力シート!C67)</f>
        <v/>
      </c>
      <c r="C66" s="1236"/>
      <c r="D66" s="1236"/>
      <c r="E66" s="1236"/>
      <c r="F66" s="1237"/>
      <c r="G66" s="1252" t="str">
        <f>IF(基本情報入力シート!M67="","",基本情報入力シート!M67)</f>
        <v/>
      </c>
      <c r="H66" s="1252" t="str">
        <f>IF(基本情報入力シート!R67="","",基本情報入力シート!R67)</f>
        <v/>
      </c>
      <c r="I66" s="1252" t="str">
        <f>IF(基本情報入力シート!W67="","",基本情報入力シート!W67)</f>
        <v/>
      </c>
      <c r="J66" s="1415" t="str">
        <f>IF(基本情報入力シート!X67="","",基本情報入力シート!X67)</f>
        <v/>
      </c>
      <c r="K66" s="1252" t="str">
        <f>IF(基本情報入力シート!Y67="","",基本情報入力シート!Y67)</f>
        <v/>
      </c>
      <c r="L66" s="1276" t="str">
        <f>IF(基本情報入力シート!AB67="","",基本情報入力シート!AB67)</f>
        <v/>
      </c>
      <c r="M66" s="550" t="str">
        <f>IF('別紙様式2-2（４・５月分）'!P53="","",'別紙様式2-2（４・５月分）'!P53)</f>
        <v/>
      </c>
      <c r="N66" s="1391" t="str">
        <f>IF(SUM('別紙様式2-2（４・５月分）'!Q53:Q55)=0,"",SUM('別紙様式2-2（４・５月分）'!Q53:Q55))</f>
        <v/>
      </c>
      <c r="O66" s="1395" t="str">
        <f>IFERROR(VLOOKUP('別紙様式2-2（４・５月分）'!AQ53,【参考】数式用!$AR$5:$AS$22,2,FALSE),"")</f>
        <v/>
      </c>
      <c r="P66" s="1396"/>
      <c r="Q66" s="1397"/>
      <c r="R66" s="1401" t="str">
        <f>IFERROR(VLOOKUP(K66,【参考】数式用!$A$5:$AB$37,MATCH(O66,【参考】数式用!$B$4:$AB$4,0)+1,0),"")</f>
        <v/>
      </c>
      <c r="S66" s="1403" t="s">
        <v>2021</v>
      </c>
      <c r="T66" s="1405"/>
      <c r="U66" s="1407" t="str">
        <f>IFERROR(VLOOKUP(K66,【参考】数式用!$A$5:$AB$37,MATCH(T66,【参考】数式用!$B$4:$AB$4,0)+1,0),"")</f>
        <v/>
      </c>
      <c r="V66" s="1409" t="s">
        <v>15</v>
      </c>
      <c r="W66" s="1347">
        <v>6</v>
      </c>
      <c r="X66" s="1349" t="s">
        <v>10</v>
      </c>
      <c r="Y66" s="1347">
        <v>6</v>
      </c>
      <c r="Z66" s="1349" t="s">
        <v>38</v>
      </c>
      <c r="AA66" s="1347">
        <v>7</v>
      </c>
      <c r="AB66" s="1349" t="s">
        <v>10</v>
      </c>
      <c r="AC66" s="1347">
        <v>3</v>
      </c>
      <c r="AD66" s="1349" t="s">
        <v>13</v>
      </c>
      <c r="AE66" s="1349" t="s">
        <v>20</v>
      </c>
      <c r="AF66" s="1349">
        <f>IF(W66&gt;=1,(AA66*12+AC66)-(W66*12+Y66)+1,"")</f>
        <v>10</v>
      </c>
      <c r="AG66" s="1351" t="s">
        <v>33</v>
      </c>
      <c r="AH66" s="1353" t="str">
        <f t="shared" ref="AH66" si="134">IFERROR(ROUNDDOWN(ROUND(L66*U66,0),0)*AF66,"")</f>
        <v/>
      </c>
      <c r="AI66" s="1355" t="str">
        <f t="shared" ref="AI66" si="135">IFERROR(ROUNDDOWN(ROUND((L66*(U66-AW66)),0),0)*AF66,"")</f>
        <v/>
      </c>
      <c r="AJ66" s="1357">
        <f>IFERROR(IF(OR(M66="",M67="",M69=""),0,ROUNDDOWN(ROUNDDOWN(ROUND(L66*VLOOKUP(K66,【参考】数式用!$A$5:$AB$37,MATCH("新加算Ⅳ",【参考】数式用!$B$4:$AB$4,0)+1,0),0),0)*AF66*0.5,0)),"")</f>
        <v>0</v>
      </c>
      <c r="AK66" s="1341"/>
      <c r="AL66" s="1345">
        <f>IFERROR(IF(OR(M69="ベア加算",M69=""),0, IF(OR(T66="新加算Ⅰ",T66="新加算Ⅱ",T66="新加算Ⅲ",T66="新加算Ⅳ"),ROUNDDOWN(ROUND(L66*VLOOKUP(K66,【参考】数式用!$A$5:$I$37,MATCH("ベア加算",【参考】数式用!$B$4:$I$4,0)+1,0),0),0)*AF66,0)),"")</f>
        <v>0</v>
      </c>
      <c r="AM66" s="1331"/>
      <c r="AN66" s="1337"/>
      <c r="AO66" s="1333"/>
      <c r="AP66" s="1333"/>
      <c r="AQ66" s="1335"/>
      <c r="AR66" s="1315"/>
      <c r="AS66" s="465" t="str">
        <f t="shared" ref="AS66" si="136">IF(AU66="","",IF(U66&lt;N66,"！加算の要件上は問題ありませんが、令和６年４・５月と比較して令和６年６月に加算率が下がる計画になっています。",""))</f>
        <v/>
      </c>
      <c r="AT66" s="554"/>
      <c r="AU66" s="1303" t="str">
        <f>IF(K66&lt;&gt;"","V列に色付け","")</f>
        <v/>
      </c>
      <c r="AV66" s="555" t="str">
        <f>IF('別紙様式2-2（４・５月分）'!N53="","",'別紙様式2-2（４・５月分）'!N53)</f>
        <v/>
      </c>
      <c r="AW66" s="1305" t="str">
        <f>IF(SUM('別紙様式2-2（４・５月分）'!O53:O55)=0,"",SUM('別紙様式2-2（４・５月分）'!O53:O55))</f>
        <v/>
      </c>
      <c r="AX66" s="1306" t="str">
        <f>IFERROR(VLOOKUP(K66,【参考】数式用!$AH$2:$AI$34,2,FALSE),"")</f>
        <v/>
      </c>
      <c r="AY66" s="1222" t="s">
        <v>1959</v>
      </c>
      <c r="AZ66" s="1222" t="s">
        <v>1960</v>
      </c>
      <c r="BA66" s="1222" t="s">
        <v>1961</v>
      </c>
      <c r="BB66" s="1222" t="s">
        <v>1962</v>
      </c>
      <c r="BC66" s="1222" t="str">
        <f>IF(AND(O66&lt;&gt;"新加算Ⅰ",O66&lt;&gt;"新加算Ⅱ",O66&lt;&gt;"新加算Ⅲ",O66&lt;&gt;"新加算Ⅳ"),O66,IF(P68&lt;&gt;"",P68,""))</f>
        <v/>
      </c>
      <c r="BD66" s="1222"/>
      <c r="BE66" s="1222" t="str">
        <f t="shared" ref="BE66" si="137">IF(AL66&lt;&gt;0,IF(AM66="○","入力済","未入力"),"")</f>
        <v/>
      </c>
      <c r="BF66" s="1222"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2" t="str">
        <f>IF(OR(T66="新加算Ⅴ（７）",T66="新加算Ⅴ（９）",T66="新加算Ⅴ（10）",T66="新加算Ⅴ（12）",T66="新加算Ⅴ（13）",T66="新加算Ⅴ（14）"),IF(OR(AO66="○",AO66="令和６年度中に満たす"),"入力済","未入力"),"")</f>
        <v/>
      </c>
      <c r="BH66" s="1323" t="str">
        <f t="shared" ref="BH66" si="138">IF(OR(T66="新加算Ⅰ",T66="新加算Ⅱ",T66="新加算Ⅲ",T66="新加算Ⅴ（１）",T66="新加算Ⅴ（３）",T66="新加算Ⅴ（８）"),IF(OR(AP66="○",AP66="令和６年度中に満たす"),"入力済","未入力"),"")</f>
        <v/>
      </c>
      <c r="BI66" s="1325" t="str">
        <f t="shared" ref="BI66" si="139">IF(OR(T66="新加算Ⅰ",T66="新加算Ⅱ",T66="新加算Ⅴ（１）",T66="新加算Ⅴ（２）",T66="新加算Ⅴ（３）",T66="新加算Ⅴ（４）",T66="新加算Ⅴ（５）",T66="新加算Ⅴ（６）",T66="新加算Ⅴ（７）",T66="新加算Ⅴ（９）",T66="新加算Ⅴ（10）",T66="新加算Ⅴ（12）"),1,"")</f>
        <v/>
      </c>
      <c r="BJ66" s="1303" t="str">
        <f>IF(OR(T66="新加算Ⅰ",T66="新加算Ⅴ（１）",T66="新加算Ⅴ（２）",T66="新加算Ⅴ（５）",T66="新加算Ⅴ（７）",T66="新加算Ⅴ（10）"),IF(AR66="","未入力","入力済"),"")</f>
        <v/>
      </c>
      <c r="BK66" s="452" t="str">
        <f>G66</f>
        <v/>
      </c>
    </row>
    <row r="67" spans="1:63" ht="15" customHeight="1">
      <c r="A67" s="1267"/>
      <c r="B67" s="1235"/>
      <c r="C67" s="1236"/>
      <c r="D67" s="1236"/>
      <c r="E67" s="1236"/>
      <c r="F67" s="1237"/>
      <c r="G67" s="1252"/>
      <c r="H67" s="1252"/>
      <c r="I67" s="1252"/>
      <c r="J67" s="1415"/>
      <c r="K67" s="1252"/>
      <c r="L67" s="1276"/>
      <c r="M67" s="1371" t="str">
        <f>IF('別紙様式2-2（４・５月分）'!P54="","",'別紙様式2-2（４・５月分）'!P54)</f>
        <v/>
      </c>
      <c r="N67" s="1392"/>
      <c r="O67" s="1398"/>
      <c r="P67" s="1399"/>
      <c r="Q67" s="1400"/>
      <c r="R67" s="1402"/>
      <c r="S67" s="1404"/>
      <c r="T67" s="1406"/>
      <c r="U67" s="1408"/>
      <c r="V67" s="1410"/>
      <c r="W67" s="1348"/>
      <c r="X67" s="1350"/>
      <c r="Y67" s="1348"/>
      <c r="Z67" s="1350"/>
      <c r="AA67" s="1348"/>
      <c r="AB67" s="1350"/>
      <c r="AC67" s="1348"/>
      <c r="AD67" s="1350"/>
      <c r="AE67" s="1350"/>
      <c r="AF67" s="1350"/>
      <c r="AG67" s="1352"/>
      <c r="AH67" s="1354"/>
      <c r="AI67" s="1356"/>
      <c r="AJ67" s="1358"/>
      <c r="AK67" s="1342"/>
      <c r="AL67" s="1346"/>
      <c r="AM67" s="1332"/>
      <c r="AN67" s="1338"/>
      <c r="AO67" s="1334"/>
      <c r="AP67" s="1334"/>
      <c r="AQ67" s="1336"/>
      <c r="AR67" s="1316"/>
      <c r="AS67" s="1302"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4"/>
      <c r="AU67" s="1303"/>
      <c r="AV67" s="1304" t="str">
        <f>IF('別紙様式2-2（４・５月分）'!N54="","",'別紙様式2-2（４・５月分）'!N54)</f>
        <v/>
      </c>
      <c r="AW67" s="1305"/>
      <c r="AX67" s="1306"/>
      <c r="AY67" s="1222"/>
      <c r="AZ67" s="1222"/>
      <c r="BA67" s="1222"/>
      <c r="BB67" s="1222"/>
      <c r="BC67" s="1222"/>
      <c r="BD67" s="1222"/>
      <c r="BE67" s="1222"/>
      <c r="BF67" s="1222"/>
      <c r="BG67" s="1222"/>
      <c r="BH67" s="1324"/>
      <c r="BI67" s="1326"/>
      <c r="BJ67" s="1303"/>
      <c r="BK67" s="452" t="str">
        <f>G66</f>
        <v/>
      </c>
    </row>
    <row r="68" spans="1:63" ht="15" customHeight="1">
      <c r="A68" s="1295"/>
      <c r="B68" s="1235"/>
      <c r="C68" s="1236"/>
      <c r="D68" s="1236"/>
      <c r="E68" s="1236"/>
      <c r="F68" s="1237"/>
      <c r="G68" s="1252"/>
      <c r="H68" s="1252"/>
      <c r="I68" s="1252"/>
      <c r="J68" s="1415"/>
      <c r="K68" s="1252"/>
      <c r="L68" s="1276"/>
      <c r="M68" s="1372"/>
      <c r="N68" s="1393"/>
      <c r="O68" s="1373" t="s">
        <v>2025</v>
      </c>
      <c r="P68" s="1375" t="str">
        <f>IFERROR(VLOOKUP('別紙様式2-2（４・５月分）'!AQ53,【参考】数式用!$AR$5:$AT$22,3,FALSE),"")</f>
        <v/>
      </c>
      <c r="Q68" s="1377" t="s">
        <v>2036</v>
      </c>
      <c r="R68" s="1379" t="str">
        <f>IFERROR(VLOOKUP(K66,【参考】数式用!$A$5:$AB$37,MATCH(P68,【参考】数式用!$B$4:$AB$4,0)+1,0),"")</f>
        <v/>
      </c>
      <c r="S68" s="1381" t="s">
        <v>161</v>
      </c>
      <c r="T68" s="1383"/>
      <c r="U68" s="1385" t="str">
        <f>IFERROR(VLOOKUP(K66,【参考】数式用!$A$5:$AB$37,MATCH(T68,【参考】数式用!$B$4:$AB$4,0)+1,0),"")</f>
        <v/>
      </c>
      <c r="V68" s="1387" t="s">
        <v>15</v>
      </c>
      <c r="W68" s="1389">
        <v>7</v>
      </c>
      <c r="X68" s="1363" t="s">
        <v>10</v>
      </c>
      <c r="Y68" s="1389">
        <v>4</v>
      </c>
      <c r="Z68" s="1363" t="s">
        <v>38</v>
      </c>
      <c r="AA68" s="1389">
        <v>8</v>
      </c>
      <c r="AB68" s="1363" t="s">
        <v>10</v>
      </c>
      <c r="AC68" s="1389">
        <v>3</v>
      </c>
      <c r="AD68" s="1363" t="s">
        <v>13</v>
      </c>
      <c r="AE68" s="1363" t="s">
        <v>20</v>
      </c>
      <c r="AF68" s="1363">
        <f>IF(W68&gt;=1,(AA68*12+AC68)-(W68*12+Y68)+1,"")</f>
        <v>12</v>
      </c>
      <c r="AG68" s="1359" t="s">
        <v>33</v>
      </c>
      <c r="AH68" s="1365" t="str">
        <f t="shared" ref="AH68" si="141">IFERROR(ROUNDDOWN(ROUND(L66*U68,0),0)*AF68,"")</f>
        <v/>
      </c>
      <c r="AI68" s="1367" t="str">
        <f t="shared" ref="AI68" si="142">IFERROR(ROUNDDOWN(ROUND((L66*(U68-AW66)),0),0)*AF68,"")</f>
        <v/>
      </c>
      <c r="AJ68" s="1369">
        <f>IFERROR(IF(OR(M66="",M67="",M69=""),0,ROUNDDOWN(ROUNDDOWN(ROUND(L66*VLOOKUP(K66,【参考】数式用!$A$5:$AB$37,MATCH("新加算Ⅳ",【参考】数式用!$B$4:$AB$4,0)+1,0),0),0)*AF68*0.5,0)),"")</f>
        <v>0</v>
      </c>
      <c r="AK68" s="1339" t="str">
        <f t="shared" ref="AK68" si="143">IF(T68&lt;&gt;"","新規に適用","")</f>
        <v/>
      </c>
      <c r="AL68" s="1343">
        <f>IFERROR(IF(OR(M69="ベア加算",M69=""),0, IF(OR(T66="新加算Ⅰ",T66="新加算Ⅱ",T66="新加算Ⅲ",T66="新加算Ⅳ"),0,ROUNDDOWN(ROUND(L66*VLOOKUP(K66,【参考】数式用!$A$5:$I$37,MATCH("ベア加算",【参考】数式用!$B$4:$I$4,0)+1,0),0),0)*AF68)),"")</f>
        <v>0</v>
      </c>
      <c r="AM68" s="1313" t="str">
        <f>IF(AND(T68&lt;&gt;"",AM66=""),"新規に適用",IF(AND(T68&lt;&gt;"",AM66&lt;&gt;""),"継続で適用",""))</f>
        <v/>
      </c>
      <c r="AN68" s="1313" t="str">
        <f>IF(AND(T68&lt;&gt;"",AN66=""),"新規に適用",IF(AND(T68&lt;&gt;"",AN66&lt;&gt;""),"継続で適用",""))</f>
        <v/>
      </c>
      <c r="AO68" s="1361"/>
      <c r="AP68" s="1313" t="str">
        <f>IF(AND(T68&lt;&gt;"",AP66=""),"新規に適用",IF(AND(T68&lt;&gt;"",AP66&lt;&gt;""),"継続で適用",""))</f>
        <v/>
      </c>
      <c r="AQ68" s="1317" t="str">
        <f t="shared" si="66"/>
        <v/>
      </c>
      <c r="AR68" s="1313" t="str">
        <f>IF(AND(T68&lt;&gt;"",AR66=""),"新規に適用",IF(AND(T68&lt;&gt;"",AR66&lt;&gt;""),"継続で適用",""))</f>
        <v/>
      </c>
      <c r="AS68" s="1302"/>
      <c r="AT68" s="554"/>
      <c r="AU68" s="1303" t="str">
        <f>IF(K66&lt;&gt;"","V列に色付け","")</f>
        <v/>
      </c>
      <c r="AV68" s="1304"/>
      <c r="AW68" s="1305"/>
      <c r="AX68"/>
      <c r="AY68"/>
      <c r="AZ68"/>
      <c r="BA68"/>
      <c r="BB68"/>
      <c r="BC68"/>
      <c r="BD68"/>
      <c r="BE68"/>
      <c r="BF68"/>
      <c r="BG68"/>
      <c r="BH68"/>
      <c r="BI68"/>
      <c r="BJ68"/>
      <c r="BK68" s="452" t="str">
        <f>G66</f>
        <v/>
      </c>
    </row>
    <row r="69" spans="1:63" ht="30" customHeight="1" thickBot="1">
      <c r="A69" s="1268"/>
      <c r="B69" s="1411"/>
      <c r="C69" s="1412"/>
      <c r="D69" s="1412"/>
      <c r="E69" s="1412"/>
      <c r="F69" s="1413"/>
      <c r="G69" s="1253"/>
      <c r="H69" s="1253"/>
      <c r="I69" s="1253"/>
      <c r="J69" s="1416"/>
      <c r="K69" s="1253"/>
      <c r="L69" s="1277"/>
      <c r="M69" s="553" t="str">
        <f>IF('別紙様式2-2（４・５月分）'!P55="","",'別紙様式2-2（４・５月分）'!P55)</f>
        <v/>
      </c>
      <c r="N69" s="1394"/>
      <c r="O69" s="1374"/>
      <c r="P69" s="1376"/>
      <c r="Q69" s="1378"/>
      <c r="R69" s="1380"/>
      <c r="S69" s="1382"/>
      <c r="T69" s="1384"/>
      <c r="U69" s="1386"/>
      <c r="V69" s="1388"/>
      <c r="W69" s="1390"/>
      <c r="X69" s="1364"/>
      <c r="Y69" s="1390"/>
      <c r="Z69" s="1364"/>
      <c r="AA69" s="1390"/>
      <c r="AB69" s="1364"/>
      <c r="AC69" s="1390"/>
      <c r="AD69" s="1364"/>
      <c r="AE69" s="1364"/>
      <c r="AF69" s="1364"/>
      <c r="AG69" s="1360"/>
      <c r="AH69" s="1366"/>
      <c r="AI69" s="1368"/>
      <c r="AJ69" s="1370"/>
      <c r="AK69" s="1340"/>
      <c r="AL69" s="1344"/>
      <c r="AM69" s="1314"/>
      <c r="AN69" s="1314"/>
      <c r="AO69" s="1362"/>
      <c r="AP69" s="1314"/>
      <c r="AQ69" s="1318"/>
      <c r="AR69" s="1314"/>
      <c r="AS69" s="490"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4"/>
      <c r="AU69" s="1303"/>
      <c r="AV69" s="555" t="str">
        <f>IF('別紙様式2-2（４・５月分）'!N55="","",'別紙様式2-2（４・５月分）'!N55)</f>
        <v/>
      </c>
      <c r="AW69" s="1305"/>
      <c r="AX69"/>
      <c r="AY69"/>
      <c r="AZ69"/>
      <c r="BA69"/>
      <c r="BB69"/>
      <c r="BC69"/>
      <c r="BD69"/>
      <c r="BE69"/>
      <c r="BF69"/>
      <c r="BG69"/>
      <c r="BH69"/>
      <c r="BI69"/>
      <c r="BJ69"/>
      <c r="BK69" s="452" t="str">
        <f>G66</f>
        <v/>
      </c>
    </row>
    <row r="70" spans="1:63" ht="30" customHeight="1">
      <c r="A70" s="1266">
        <v>15</v>
      </c>
      <c r="B70" s="1232" t="str">
        <f>IF(基本情報入力シート!C68="","",基本情報入力シート!C68)</f>
        <v/>
      </c>
      <c r="C70" s="1233"/>
      <c r="D70" s="1233"/>
      <c r="E70" s="1233"/>
      <c r="F70" s="1234"/>
      <c r="G70" s="1251" t="str">
        <f>IF(基本情報入力シート!M68="","",基本情報入力シート!M68)</f>
        <v/>
      </c>
      <c r="H70" s="1251" t="str">
        <f>IF(基本情報入力シート!R68="","",基本情報入力シート!R68)</f>
        <v/>
      </c>
      <c r="I70" s="1251" t="str">
        <f>IF(基本情報入力シート!W68="","",基本情報入力シート!W68)</f>
        <v/>
      </c>
      <c r="J70" s="1414" t="str">
        <f>IF(基本情報入力シート!X68="","",基本情報入力シート!X68)</f>
        <v/>
      </c>
      <c r="K70" s="1251" t="str">
        <f>IF(基本情報入力シート!Y68="","",基本情報入力シート!Y68)</f>
        <v/>
      </c>
      <c r="L70" s="1275" t="str">
        <f>IF(基本情報入力シート!AB68="","",基本情報入力シート!AB68)</f>
        <v/>
      </c>
      <c r="M70" s="550" t="str">
        <f>IF('別紙様式2-2（４・５月分）'!P56="","",'別紙様式2-2（４・５月分）'!P56)</f>
        <v/>
      </c>
      <c r="N70" s="1391" t="str">
        <f>IF(SUM('別紙様式2-2（４・５月分）'!Q56:Q58)=0,"",SUM('別紙様式2-2（４・５月分）'!Q56:Q58))</f>
        <v/>
      </c>
      <c r="O70" s="1395" t="str">
        <f>IFERROR(VLOOKUP('別紙様式2-2（４・５月分）'!AQ56,【参考】数式用!$AR$5:$AS$22,2,FALSE),"")</f>
        <v/>
      </c>
      <c r="P70" s="1396"/>
      <c r="Q70" s="1397"/>
      <c r="R70" s="1401" t="str">
        <f>IFERROR(VLOOKUP(K70,【参考】数式用!$A$5:$AB$37,MATCH(O70,【参考】数式用!$B$4:$AB$4,0)+1,0),"")</f>
        <v/>
      </c>
      <c r="S70" s="1403" t="s">
        <v>2021</v>
      </c>
      <c r="T70" s="1405"/>
      <c r="U70" s="1407" t="str">
        <f>IFERROR(VLOOKUP(K70,【参考】数式用!$A$5:$AB$37,MATCH(T70,【参考】数式用!$B$4:$AB$4,0)+1,0),"")</f>
        <v/>
      </c>
      <c r="V70" s="1409" t="s">
        <v>15</v>
      </c>
      <c r="W70" s="1347">
        <v>6</v>
      </c>
      <c r="X70" s="1349" t="s">
        <v>10</v>
      </c>
      <c r="Y70" s="1347">
        <v>6</v>
      </c>
      <c r="Z70" s="1349" t="s">
        <v>38</v>
      </c>
      <c r="AA70" s="1347">
        <v>7</v>
      </c>
      <c r="AB70" s="1349" t="s">
        <v>10</v>
      </c>
      <c r="AC70" s="1347">
        <v>3</v>
      </c>
      <c r="AD70" s="1349" t="s">
        <v>13</v>
      </c>
      <c r="AE70" s="1349" t="s">
        <v>20</v>
      </c>
      <c r="AF70" s="1349">
        <f>IF(W70&gt;=1,(AA70*12+AC70)-(W70*12+Y70)+1,"")</f>
        <v>10</v>
      </c>
      <c r="AG70" s="1351" t="s">
        <v>33</v>
      </c>
      <c r="AH70" s="1353" t="str">
        <f t="shared" ref="AH70" si="145">IFERROR(ROUNDDOWN(ROUND(L70*U70,0),0)*AF70,"")</f>
        <v/>
      </c>
      <c r="AI70" s="1355" t="str">
        <f t="shared" ref="AI70" si="146">IFERROR(ROUNDDOWN(ROUND((L70*(U70-AW70)),0),0)*AF70,"")</f>
        <v/>
      </c>
      <c r="AJ70" s="1357">
        <f>IFERROR(IF(OR(M70="",M71="",M73=""),0,ROUNDDOWN(ROUNDDOWN(ROUND(L70*VLOOKUP(K70,【参考】数式用!$A$5:$AB$37,MATCH("新加算Ⅳ",【参考】数式用!$B$4:$AB$4,0)+1,0),0),0)*AF70*0.5,0)),"")</f>
        <v>0</v>
      </c>
      <c r="AK70" s="1341"/>
      <c r="AL70" s="1345">
        <f>IFERROR(IF(OR(M73="ベア加算",M73=""),0, IF(OR(T70="新加算Ⅰ",T70="新加算Ⅱ",T70="新加算Ⅲ",T70="新加算Ⅳ"),ROUNDDOWN(ROUND(L70*VLOOKUP(K70,【参考】数式用!$A$5:$I$37,MATCH("ベア加算",【参考】数式用!$B$4:$I$4,0)+1,0),0),0)*AF70,0)),"")</f>
        <v>0</v>
      </c>
      <c r="AM70" s="1331"/>
      <c r="AN70" s="1337"/>
      <c r="AO70" s="1333"/>
      <c r="AP70" s="1333"/>
      <c r="AQ70" s="1335"/>
      <c r="AR70" s="1315"/>
      <c r="AS70" s="465" t="str">
        <f t="shared" ref="AS70" si="147">IF(AU70="","",IF(U70&lt;N70,"！加算の要件上は問題ありませんが、令和６年４・５月と比較して令和６年６月に加算率が下がる計画になっています。",""))</f>
        <v/>
      </c>
      <c r="AT70" s="554"/>
      <c r="AU70" s="1303" t="str">
        <f>IF(K70&lt;&gt;"","V列に色付け","")</f>
        <v/>
      </c>
      <c r="AV70" s="555" t="str">
        <f>IF('別紙様式2-2（４・５月分）'!N56="","",'別紙様式2-2（４・５月分）'!N56)</f>
        <v/>
      </c>
      <c r="AW70" s="1305" t="str">
        <f>IF(SUM('別紙様式2-2（４・５月分）'!O56:O58)=0,"",SUM('別紙様式2-2（４・５月分）'!O56:O58))</f>
        <v/>
      </c>
      <c r="AX70" s="1306" t="str">
        <f>IFERROR(VLOOKUP(K70,【参考】数式用!$AH$2:$AI$34,2,FALSE),"")</f>
        <v/>
      </c>
      <c r="AY70" s="1222" t="s">
        <v>1959</v>
      </c>
      <c r="AZ70" s="1222" t="s">
        <v>1960</v>
      </c>
      <c r="BA70" s="1222" t="s">
        <v>1961</v>
      </c>
      <c r="BB70" s="1222" t="s">
        <v>1962</v>
      </c>
      <c r="BC70" s="1222" t="str">
        <f>IF(AND(O70&lt;&gt;"新加算Ⅰ",O70&lt;&gt;"新加算Ⅱ",O70&lt;&gt;"新加算Ⅲ",O70&lt;&gt;"新加算Ⅳ"),O70,IF(P72&lt;&gt;"",P72,""))</f>
        <v/>
      </c>
      <c r="BD70" s="1222"/>
      <c r="BE70" s="1222" t="str">
        <f t="shared" ref="BE70" si="148">IF(AL70&lt;&gt;0,IF(AM70="○","入力済","未入力"),"")</f>
        <v/>
      </c>
      <c r="BF70" s="1222"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2" t="str">
        <f>IF(OR(T70="新加算Ⅴ（７）",T70="新加算Ⅴ（９）",T70="新加算Ⅴ（10）",T70="新加算Ⅴ（12）",T70="新加算Ⅴ（13）",T70="新加算Ⅴ（14）"),IF(OR(AO70="○",AO70="令和６年度中に満たす"),"入力済","未入力"),"")</f>
        <v/>
      </c>
      <c r="BH70" s="1323" t="str">
        <f t="shared" ref="BH70" si="149">IF(OR(T70="新加算Ⅰ",T70="新加算Ⅱ",T70="新加算Ⅲ",T70="新加算Ⅴ（１）",T70="新加算Ⅴ（３）",T70="新加算Ⅴ（８）"),IF(OR(AP70="○",AP70="令和６年度中に満たす"),"入力済","未入力"),"")</f>
        <v/>
      </c>
      <c r="BI70" s="1325" t="str">
        <f t="shared" ref="BI70" si="150">IF(OR(T70="新加算Ⅰ",T70="新加算Ⅱ",T70="新加算Ⅴ（１）",T70="新加算Ⅴ（２）",T70="新加算Ⅴ（３）",T70="新加算Ⅴ（４）",T70="新加算Ⅴ（５）",T70="新加算Ⅴ（６）",T70="新加算Ⅴ（７）",T70="新加算Ⅴ（９）",T70="新加算Ⅴ（10）",T70="新加算Ⅴ（12）"),1,"")</f>
        <v/>
      </c>
      <c r="BJ70" s="1303" t="str">
        <f>IF(OR(T70="新加算Ⅰ",T70="新加算Ⅴ（１）",T70="新加算Ⅴ（２）",T70="新加算Ⅴ（５）",T70="新加算Ⅴ（７）",T70="新加算Ⅴ（10）"),IF(AR70="","未入力","入力済"),"")</f>
        <v/>
      </c>
      <c r="BK70" s="452" t="str">
        <f>G70</f>
        <v/>
      </c>
    </row>
    <row r="71" spans="1:63" ht="15" customHeight="1">
      <c r="A71" s="1267"/>
      <c r="B71" s="1235"/>
      <c r="C71" s="1236"/>
      <c r="D71" s="1236"/>
      <c r="E71" s="1236"/>
      <c r="F71" s="1237"/>
      <c r="G71" s="1252"/>
      <c r="H71" s="1252"/>
      <c r="I71" s="1252"/>
      <c r="J71" s="1415"/>
      <c r="K71" s="1252"/>
      <c r="L71" s="1276"/>
      <c r="M71" s="1371" t="str">
        <f>IF('別紙様式2-2（４・５月分）'!P57="","",'別紙様式2-2（４・５月分）'!P57)</f>
        <v/>
      </c>
      <c r="N71" s="1392"/>
      <c r="O71" s="1398"/>
      <c r="P71" s="1399"/>
      <c r="Q71" s="1400"/>
      <c r="R71" s="1402"/>
      <c r="S71" s="1404"/>
      <c r="T71" s="1406"/>
      <c r="U71" s="1408"/>
      <c r="V71" s="1410"/>
      <c r="W71" s="1348"/>
      <c r="X71" s="1350"/>
      <c r="Y71" s="1348"/>
      <c r="Z71" s="1350"/>
      <c r="AA71" s="1348"/>
      <c r="AB71" s="1350"/>
      <c r="AC71" s="1348"/>
      <c r="AD71" s="1350"/>
      <c r="AE71" s="1350"/>
      <c r="AF71" s="1350"/>
      <c r="AG71" s="1352"/>
      <c r="AH71" s="1354"/>
      <c r="AI71" s="1356"/>
      <c r="AJ71" s="1358"/>
      <c r="AK71" s="1342"/>
      <c r="AL71" s="1346"/>
      <c r="AM71" s="1332"/>
      <c r="AN71" s="1338"/>
      <c r="AO71" s="1334"/>
      <c r="AP71" s="1334"/>
      <c r="AQ71" s="1336"/>
      <c r="AR71" s="1316"/>
      <c r="AS71" s="1302"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4"/>
      <c r="AU71" s="1303"/>
      <c r="AV71" s="1304" t="str">
        <f>IF('別紙様式2-2（４・５月分）'!N57="","",'別紙様式2-2（４・５月分）'!N57)</f>
        <v/>
      </c>
      <c r="AW71" s="1305"/>
      <c r="AX71" s="1306"/>
      <c r="AY71" s="1222"/>
      <c r="AZ71" s="1222"/>
      <c r="BA71" s="1222"/>
      <c r="BB71" s="1222"/>
      <c r="BC71" s="1222"/>
      <c r="BD71" s="1222"/>
      <c r="BE71" s="1222"/>
      <c r="BF71" s="1222"/>
      <c r="BG71" s="1222"/>
      <c r="BH71" s="1324"/>
      <c r="BI71" s="1326"/>
      <c r="BJ71" s="1303"/>
      <c r="BK71" s="452" t="str">
        <f>G70</f>
        <v/>
      </c>
    </row>
    <row r="72" spans="1:63" ht="15" customHeight="1">
      <c r="A72" s="1295"/>
      <c r="B72" s="1235"/>
      <c r="C72" s="1236"/>
      <c r="D72" s="1236"/>
      <c r="E72" s="1236"/>
      <c r="F72" s="1237"/>
      <c r="G72" s="1252"/>
      <c r="H72" s="1252"/>
      <c r="I72" s="1252"/>
      <c r="J72" s="1415"/>
      <c r="K72" s="1252"/>
      <c r="L72" s="1276"/>
      <c r="M72" s="1372"/>
      <c r="N72" s="1393"/>
      <c r="O72" s="1373" t="s">
        <v>2025</v>
      </c>
      <c r="P72" s="1375" t="str">
        <f>IFERROR(VLOOKUP('別紙様式2-2（４・５月分）'!AQ56,【参考】数式用!$AR$5:$AT$22,3,FALSE),"")</f>
        <v/>
      </c>
      <c r="Q72" s="1377" t="s">
        <v>2036</v>
      </c>
      <c r="R72" s="1379" t="str">
        <f>IFERROR(VLOOKUP(K70,【参考】数式用!$A$5:$AB$37,MATCH(P72,【参考】数式用!$B$4:$AB$4,0)+1,0),"")</f>
        <v/>
      </c>
      <c r="S72" s="1381" t="s">
        <v>161</v>
      </c>
      <c r="T72" s="1383"/>
      <c r="U72" s="1385" t="str">
        <f>IFERROR(VLOOKUP(K70,【参考】数式用!$A$5:$AB$37,MATCH(T72,【参考】数式用!$B$4:$AB$4,0)+1,0),"")</f>
        <v/>
      </c>
      <c r="V72" s="1387" t="s">
        <v>15</v>
      </c>
      <c r="W72" s="1389">
        <v>7</v>
      </c>
      <c r="X72" s="1363" t="s">
        <v>10</v>
      </c>
      <c r="Y72" s="1389">
        <v>4</v>
      </c>
      <c r="Z72" s="1363" t="s">
        <v>38</v>
      </c>
      <c r="AA72" s="1389">
        <v>8</v>
      </c>
      <c r="AB72" s="1363" t="s">
        <v>10</v>
      </c>
      <c r="AC72" s="1389">
        <v>3</v>
      </c>
      <c r="AD72" s="1363" t="s">
        <v>13</v>
      </c>
      <c r="AE72" s="1363" t="s">
        <v>20</v>
      </c>
      <c r="AF72" s="1363">
        <f>IF(W72&gt;=1,(AA72*12+AC72)-(W72*12+Y72)+1,"")</f>
        <v>12</v>
      </c>
      <c r="AG72" s="1359" t="s">
        <v>33</v>
      </c>
      <c r="AH72" s="1365" t="str">
        <f t="shared" ref="AH72" si="152">IFERROR(ROUNDDOWN(ROUND(L70*U72,0),0)*AF72,"")</f>
        <v/>
      </c>
      <c r="AI72" s="1367" t="str">
        <f t="shared" ref="AI72" si="153">IFERROR(ROUNDDOWN(ROUND((L70*(U72-AW70)),0),0)*AF72,"")</f>
        <v/>
      </c>
      <c r="AJ72" s="1369">
        <f>IFERROR(IF(OR(M70="",M71="",M73=""),0,ROUNDDOWN(ROUNDDOWN(ROUND(L70*VLOOKUP(K70,【参考】数式用!$A$5:$AB$37,MATCH("新加算Ⅳ",【参考】数式用!$B$4:$AB$4,0)+1,0),0),0)*AF72*0.5,0)),"")</f>
        <v>0</v>
      </c>
      <c r="AK72" s="1339" t="str">
        <f t="shared" ref="AK72" si="154">IF(T72&lt;&gt;"","新規に適用","")</f>
        <v/>
      </c>
      <c r="AL72" s="1343">
        <f>IFERROR(IF(OR(M73="ベア加算",M73=""),0, IF(OR(T70="新加算Ⅰ",T70="新加算Ⅱ",T70="新加算Ⅲ",T70="新加算Ⅳ"),0,ROUNDDOWN(ROUND(L70*VLOOKUP(K70,【参考】数式用!$A$5:$I$37,MATCH("ベア加算",【参考】数式用!$B$4:$I$4,0)+1,0),0),0)*AF72)),"")</f>
        <v>0</v>
      </c>
      <c r="AM72" s="1313" t="str">
        <f>IF(AND(T72&lt;&gt;"",AM70=""),"新規に適用",IF(AND(T72&lt;&gt;"",AM70&lt;&gt;""),"継続で適用",""))</f>
        <v/>
      </c>
      <c r="AN72" s="1313" t="str">
        <f>IF(AND(T72&lt;&gt;"",AN70=""),"新規に適用",IF(AND(T72&lt;&gt;"",AN70&lt;&gt;""),"継続で適用",""))</f>
        <v/>
      </c>
      <c r="AO72" s="1361"/>
      <c r="AP72" s="1313" t="str">
        <f>IF(AND(T72&lt;&gt;"",AP70=""),"新規に適用",IF(AND(T72&lt;&gt;"",AP70&lt;&gt;""),"継続で適用",""))</f>
        <v/>
      </c>
      <c r="AQ72" s="1317" t="str">
        <f t="shared" si="66"/>
        <v/>
      </c>
      <c r="AR72" s="1313" t="str">
        <f>IF(AND(T72&lt;&gt;"",AR70=""),"新規に適用",IF(AND(T72&lt;&gt;"",AR70&lt;&gt;""),"継続で適用",""))</f>
        <v/>
      </c>
      <c r="AS72" s="1302"/>
      <c r="AT72" s="554"/>
      <c r="AU72" s="1303" t="str">
        <f>IF(K70&lt;&gt;"","V列に色付け","")</f>
        <v/>
      </c>
      <c r="AV72" s="1304"/>
      <c r="AW72" s="1305"/>
      <c r="AX72"/>
      <c r="AY72"/>
      <c r="AZ72"/>
      <c r="BA72"/>
      <c r="BB72"/>
      <c r="BC72"/>
      <c r="BD72"/>
      <c r="BE72"/>
      <c r="BF72"/>
      <c r="BG72"/>
      <c r="BH72"/>
      <c r="BI72"/>
      <c r="BJ72"/>
      <c r="BK72" s="452" t="str">
        <f>G70</f>
        <v/>
      </c>
    </row>
    <row r="73" spans="1:63" ht="30" customHeight="1" thickBot="1">
      <c r="A73" s="1268"/>
      <c r="B73" s="1411"/>
      <c r="C73" s="1412"/>
      <c r="D73" s="1412"/>
      <c r="E73" s="1412"/>
      <c r="F73" s="1413"/>
      <c r="G73" s="1253"/>
      <c r="H73" s="1253"/>
      <c r="I73" s="1253"/>
      <c r="J73" s="1416"/>
      <c r="K73" s="1253"/>
      <c r="L73" s="1277"/>
      <c r="M73" s="553" t="str">
        <f>IF('別紙様式2-2（４・５月分）'!P58="","",'別紙様式2-2（４・５月分）'!P58)</f>
        <v/>
      </c>
      <c r="N73" s="1394"/>
      <c r="O73" s="1374"/>
      <c r="P73" s="1376"/>
      <c r="Q73" s="1378"/>
      <c r="R73" s="1380"/>
      <c r="S73" s="1382"/>
      <c r="T73" s="1384"/>
      <c r="U73" s="1386"/>
      <c r="V73" s="1388"/>
      <c r="W73" s="1390"/>
      <c r="X73" s="1364"/>
      <c r="Y73" s="1390"/>
      <c r="Z73" s="1364"/>
      <c r="AA73" s="1390"/>
      <c r="AB73" s="1364"/>
      <c r="AC73" s="1390"/>
      <c r="AD73" s="1364"/>
      <c r="AE73" s="1364"/>
      <c r="AF73" s="1364"/>
      <c r="AG73" s="1360"/>
      <c r="AH73" s="1366"/>
      <c r="AI73" s="1368"/>
      <c r="AJ73" s="1370"/>
      <c r="AK73" s="1340"/>
      <c r="AL73" s="1344"/>
      <c r="AM73" s="1314"/>
      <c r="AN73" s="1314"/>
      <c r="AO73" s="1362"/>
      <c r="AP73" s="1314"/>
      <c r="AQ73" s="1318"/>
      <c r="AR73" s="1314"/>
      <c r="AS73" s="490"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4"/>
      <c r="AU73" s="1303"/>
      <c r="AV73" s="555" t="str">
        <f>IF('別紙様式2-2（４・５月分）'!N58="","",'別紙様式2-2（４・５月分）'!N58)</f>
        <v/>
      </c>
      <c r="AW73" s="1305"/>
      <c r="AX73"/>
      <c r="AY73"/>
      <c r="AZ73"/>
      <c r="BA73"/>
      <c r="BB73"/>
      <c r="BC73"/>
      <c r="BD73"/>
      <c r="BE73"/>
      <c r="BF73"/>
      <c r="BG73"/>
      <c r="BH73"/>
      <c r="BI73"/>
      <c r="BJ73"/>
      <c r="BK73" s="452" t="str">
        <f>G70</f>
        <v/>
      </c>
    </row>
    <row r="74" spans="1:63" ht="30" customHeight="1">
      <c r="A74" s="1293">
        <v>16</v>
      </c>
      <c r="B74" s="1235" t="str">
        <f>IF(基本情報入力シート!C69="","",基本情報入力シート!C69)</f>
        <v/>
      </c>
      <c r="C74" s="1236"/>
      <c r="D74" s="1236"/>
      <c r="E74" s="1236"/>
      <c r="F74" s="1237"/>
      <c r="G74" s="1252" t="str">
        <f>IF(基本情報入力シート!M69="","",基本情報入力シート!M69)</f>
        <v/>
      </c>
      <c r="H74" s="1252" t="str">
        <f>IF(基本情報入力シート!R69="","",基本情報入力シート!R69)</f>
        <v/>
      </c>
      <c r="I74" s="1252" t="str">
        <f>IF(基本情報入力シート!W69="","",基本情報入力シート!W69)</f>
        <v/>
      </c>
      <c r="J74" s="1415" t="str">
        <f>IF(基本情報入力シート!X69="","",基本情報入力シート!X69)</f>
        <v/>
      </c>
      <c r="K74" s="1252" t="str">
        <f>IF(基本情報入力シート!Y69="","",基本情報入力シート!Y69)</f>
        <v/>
      </c>
      <c r="L74" s="1276" t="str">
        <f>IF(基本情報入力シート!AB69="","",基本情報入力シート!AB69)</f>
        <v/>
      </c>
      <c r="M74" s="550" t="str">
        <f>IF('別紙様式2-2（４・５月分）'!P59="","",'別紙様式2-2（４・５月分）'!P59)</f>
        <v/>
      </c>
      <c r="N74" s="1391" t="str">
        <f>IF(SUM('別紙様式2-2（４・５月分）'!Q59:Q61)=0,"",SUM('別紙様式2-2（４・５月分）'!Q59:Q61))</f>
        <v/>
      </c>
      <c r="O74" s="1395" t="str">
        <f>IFERROR(VLOOKUP('別紙様式2-2（４・５月分）'!AQ59,【参考】数式用!$AR$5:$AS$22,2,FALSE),"")</f>
        <v/>
      </c>
      <c r="P74" s="1396"/>
      <c r="Q74" s="1397"/>
      <c r="R74" s="1401" t="str">
        <f>IFERROR(VLOOKUP(K74,【参考】数式用!$A$5:$AB$37,MATCH(O74,【参考】数式用!$B$4:$AB$4,0)+1,0),"")</f>
        <v/>
      </c>
      <c r="S74" s="1403" t="s">
        <v>2021</v>
      </c>
      <c r="T74" s="1405"/>
      <c r="U74" s="1407" t="str">
        <f>IFERROR(VLOOKUP(K74,【参考】数式用!$A$5:$AB$37,MATCH(T74,【参考】数式用!$B$4:$AB$4,0)+1,0),"")</f>
        <v/>
      </c>
      <c r="V74" s="1409" t="s">
        <v>15</v>
      </c>
      <c r="W74" s="1347">
        <v>6</v>
      </c>
      <c r="X74" s="1349" t="s">
        <v>10</v>
      </c>
      <c r="Y74" s="1347">
        <v>6</v>
      </c>
      <c r="Z74" s="1349" t="s">
        <v>38</v>
      </c>
      <c r="AA74" s="1347">
        <v>7</v>
      </c>
      <c r="AB74" s="1349" t="s">
        <v>10</v>
      </c>
      <c r="AC74" s="1347">
        <v>3</v>
      </c>
      <c r="AD74" s="1349" t="s">
        <v>13</v>
      </c>
      <c r="AE74" s="1349" t="s">
        <v>20</v>
      </c>
      <c r="AF74" s="1349">
        <f>IF(W74&gt;=1,(AA74*12+AC74)-(W74*12+Y74)+1,"")</f>
        <v>10</v>
      </c>
      <c r="AG74" s="1351" t="s">
        <v>33</v>
      </c>
      <c r="AH74" s="1353" t="str">
        <f t="shared" ref="AH74" si="156">IFERROR(ROUNDDOWN(ROUND(L74*U74,0),0)*AF74,"")</f>
        <v/>
      </c>
      <c r="AI74" s="1355" t="str">
        <f t="shared" ref="AI74" si="157">IFERROR(ROUNDDOWN(ROUND((L74*(U74-AW74)),0),0)*AF74,"")</f>
        <v/>
      </c>
      <c r="AJ74" s="1357">
        <f>IFERROR(IF(OR(M74="",M75="",M77=""),0,ROUNDDOWN(ROUNDDOWN(ROUND(L74*VLOOKUP(K74,【参考】数式用!$A$5:$AB$37,MATCH("新加算Ⅳ",【参考】数式用!$B$4:$AB$4,0)+1,0),0),0)*AF74*0.5,0)),"")</f>
        <v>0</v>
      </c>
      <c r="AK74" s="1341"/>
      <c r="AL74" s="1345">
        <f>IFERROR(IF(OR(M77="ベア加算",M77=""),0, IF(OR(T74="新加算Ⅰ",T74="新加算Ⅱ",T74="新加算Ⅲ",T74="新加算Ⅳ"),ROUNDDOWN(ROUND(L74*VLOOKUP(K74,【参考】数式用!$A$5:$I$37,MATCH("ベア加算",【参考】数式用!$B$4:$I$4,0)+1,0),0),0)*AF74,0)),"")</f>
        <v>0</v>
      </c>
      <c r="AM74" s="1331"/>
      <c r="AN74" s="1337"/>
      <c r="AO74" s="1333"/>
      <c r="AP74" s="1333"/>
      <c r="AQ74" s="1335"/>
      <c r="AR74" s="1315"/>
      <c r="AS74" s="465" t="str">
        <f t="shared" ref="AS74" si="158">IF(AU74="","",IF(U74&lt;N74,"！加算の要件上は問題ありませんが、令和６年４・５月と比較して令和６年６月に加算率が下がる計画になっています。",""))</f>
        <v/>
      </c>
      <c r="AT74" s="554"/>
      <c r="AU74" s="1303" t="str">
        <f>IF(K74&lt;&gt;"","V列に色付け","")</f>
        <v/>
      </c>
      <c r="AV74" s="555" t="str">
        <f>IF('別紙様式2-2（４・５月分）'!N59="","",'別紙様式2-2（４・５月分）'!N59)</f>
        <v/>
      </c>
      <c r="AW74" s="1305" t="str">
        <f>IF(SUM('別紙様式2-2（４・５月分）'!O59:O61)=0,"",SUM('別紙様式2-2（４・５月分）'!O59:O61))</f>
        <v/>
      </c>
      <c r="AX74" s="1306" t="str">
        <f>IFERROR(VLOOKUP(K74,【参考】数式用!$AH$2:$AI$34,2,FALSE),"")</f>
        <v/>
      </c>
      <c r="AY74" s="1222" t="s">
        <v>1959</v>
      </c>
      <c r="AZ74" s="1222" t="s">
        <v>1960</v>
      </c>
      <c r="BA74" s="1222" t="s">
        <v>1961</v>
      </c>
      <c r="BB74" s="1222" t="s">
        <v>1962</v>
      </c>
      <c r="BC74" s="1222" t="str">
        <f>IF(AND(O74&lt;&gt;"新加算Ⅰ",O74&lt;&gt;"新加算Ⅱ",O74&lt;&gt;"新加算Ⅲ",O74&lt;&gt;"新加算Ⅳ"),O74,IF(P76&lt;&gt;"",P76,""))</f>
        <v/>
      </c>
      <c r="BD74" s="1222"/>
      <c r="BE74" s="1222" t="str">
        <f t="shared" ref="BE74" si="159">IF(AL74&lt;&gt;0,IF(AM74="○","入力済","未入力"),"")</f>
        <v/>
      </c>
      <c r="BF74" s="1222"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2" t="str">
        <f>IF(OR(T74="新加算Ⅴ（７）",T74="新加算Ⅴ（９）",T74="新加算Ⅴ（10）",T74="新加算Ⅴ（12）",T74="新加算Ⅴ（13）",T74="新加算Ⅴ（14）"),IF(OR(AO74="○",AO74="令和６年度中に満たす"),"入力済","未入力"),"")</f>
        <v/>
      </c>
      <c r="BH74" s="1323" t="str">
        <f t="shared" ref="BH74" si="160">IF(OR(T74="新加算Ⅰ",T74="新加算Ⅱ",T74="新加算Ⅲ",T74="新加算Ⅴ（１）",T74="新加算Ⅴ（３）",T74="新加算Ⅴ（８）"),IF(OR(AP74="○",AP74="令和６年度中に満たす"),"入力済","未入力"),"")</f>
        <v/>
      </c>
      <c r="BI74" s="1325" t="str">
        <f t="shared" ref="BI74" si="161">IF(OR(T74="新加算Ⅰ",T74="新加算Ⅱ",T74="新加算Ⅴ（１）",T74="新加算Ⅴ（２）",T74="新加算Ⅴ（３）",T74="新加算Ⅴ（４）",T74="新加算Ⅴ（５）",T74="新加算Ⅴ（６）",T74="新加算Ⅴ（７）",T74="新加算Ⅴ（９）",T74="新加算Ⅴ（10）",T74="新加算Ⅴ（12）"),1,"")</f>
        <v/>
      </c>
      <c r="BJ74" s="1303" t="str">
        <f>IF(OR(T74="新加算Ⅰ",T74="新加算Ⅴ（１）",T74="新加算Ⅴ（２）",T74="新加算Ⅴ（５）",T74="新加算Ⅴ（７）",T74="新加算Ⅴ（10）"),IF(AR74="","未入力","入力済"),"")</f>
        <v/>
      </c>
      <c r="BK74" s="452" t="str">
        <f>G74</f>
        <v/>
      </c>
    </row>
    <row r="75" spans="1:63" ht="15" customHeight="1">
      <c r="A75" s="1267"/>
      <c r="B75" s="1235"/>
      <c r="C75" s="1236"/>
      <c r="D75" s="1236"/>
      <c r="E75" s="1236"/>
      <c r="F75" s="1237"/>
      <c r="G75" s="1252"/>
      <c r="H75" s="1252"/>
      <c r="I75" s="1252"/>
      <c r="J75" s="1415"/>
      <c r="K75" s="1252"/>
      <c r="L75" s="1276"/>
      <c r="M75" s="1371" t="str">
        <f>IF('別紙様式2-2（４・５月分）'!P60="","",'別紙様式2-2（４・５月分）'!P60)</f>
        <v/>
      </c>
      <c r="N75" s="1392"/>
      <c r="O75" s="1398"/>
      <c r="P75" s="1399"/>
      <c r="Q75" s="1400"/>
      <c r="R75" s="1402"/>
      <c r="S75" s="1404"/>
      <c r="T75" s="1406"/>
      <c r="U75" s="1408"/>
      <c r="V75" s="1410"/>
      <c r="W75" s="1348"/>
      <c r="X75" s="1350"/>
      <c r="Y75" s="1348"/>
      <c r="Z75" s="1350"/>
      <c r="AA75" s="1348"/>
      <c r="AB75" s="1350"/>
      <c r="AC75" s="1348"/>
      <c r="AD75" s="1350"/>
      <c r="AE75" s="1350"/>
      <c r="AF75" s="1350"/>
      <c r="AG75" s="1352"/>
      <c r="AH75" s="1354"/>
      <c r="AI75" s="1356"/>
      <c r="AJ75" s="1358"/>
      <c r="AK75" s="1342"/>
      <c r="AL75" s="1346"/>
      <c r="AM75" s="1332"/>
      <c r="AN75" s="1338"/>
      <c r="AO75" s="1334"/>
      <c r="AP75" s="1334"/>
      <c r="AQ75" s="1336"/>
      <c r="AR75" s="1316"/>
      <c r="AS75" s="1302"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4"/>
      <c r="AU75" s="1303"/>
      <c r="AV75" s="1304" t="str">
        <f>IF('別紙様式2-2（４・５月分）'!N60="","",'別紙様式2-2（４・５月分）'!N60)</f>
        <v/>
      </c>
      <c r="AW75" s="1305"/>
      <c r="AX75" s="1306"/>
      <c r="AY75" s="1222"/>
      <c r="AZ75" s="1222"/>
      <c r="BA75" s="1222"/>
      <c r="BB75" s="1222"/>
      <c r="BC75" s="1222"/>
      <c r="BD75" s="1222"/>
      <c r="BE75" s="1222"/>
      <c r="BF75" s="1222"/>
      <c r="BG75" s="1222"/>
      <c r="BH75" s="1324"/>
      <c r="BI75" s="1326"/>
      <c r="BJ75" s="1303"/>
      <c r="BK75" s="452" t="str">
        <f>G74</f>
        <v/>
      </c>
    </row>
    <row r="76" spans="1:63" ht="15" customHeight="1">
      <c r="A76" s="1295"/>
      <c r="B76" s="1235"/>
      <c r="C76" s="1236"/>
      <c r="D76" s="1236"/>
      <c r="E76" s="1236"/>
      <c r="F76" s="1237"/>
      <c r="G76" s="1252"/>
      <c r="H76" s="1252"/>
      <c r="I76" s="1252"/>
      <c r="J76" s="1415"/>
      <c r="K76" s="1252"/>
      <c r="L76" s="1276"/>
      <c r="M76" s="1372"/>
      <c r="N76" s="1393"/>
      <c r="O76" s="1373" t="s">
        <v>2025</v>
      </c>
      <c r="P76" s="1375" t="str">
        <f>IFERROR(VLOOKUP('別紙様式2-2（４・５月分）'!AQ59,【参考】数式用!$AR$5:$AT$22,3,FALSE),"")</f>
        <v/>
      </c>
      <c r="Q76" s="1377" t="s">
        <v>2036</v>
      </c>
      <c r="R76" s="1379" t="str">
        <f>IFERROR(VLOOKUP(K74,【参考】数式用!$A$5:$AB$37,MATCH(P76,【参考】数式用!$B$4:$AB$4,0)+1,0),"")</f>
        <v/>
      </c>
      <c r="S76" s="1381" t="s">
        <v>161</v>
      </c>
      <c r="T76" s="1383"/>
      <c r="U76" s="1385" t="str">
        <f>IFERROR(VLOOKUP(K74,【参考】数式用!$A$5:$AB$37,MATCH(T76,【参考】数式用!$B$4:$AB$4,0)+1,0),"")</f>
        <v/>
      </c>
      <c r="V76" s="1387" t="s">
        <v>15</v>
      </c>
      <c r="W76" s="1389">
        <v>7</v>
      </c>
      <c r="X76" s="1363" t="s">
        <v>10</v>
      </c>
      <c r="Y76" s="1389">
        <v>4</v>
      </c>
      <c r="Z76" s="1363" t="s">
        <v>38</v>
      </c>
      <c r="AA76" s="1389">
        <v>8</v>
      </c>
      <c r="AB76" s="1363" t="s">
        <v>10</v>
      </c>
      <c r="AC76" s="1389">
        <v>3</v>
      </c>
      <c r="AD76" s="1363" t="s">
        <v>13</v>
      </c>
      <c r="AE76" s="1363" t="s">
        <v>20</v>
      </c>
      <c r="AF76" s="1363">
        <f>IF(W76&gt;=1,(AA76*12+AC76)-(W76*12+Y76)+1,"")</f>
        <v>12</v>
      </c>
      <c r="AG76" s="1359" t="s">
        <v>33</v>
      </c>
      <c r="AH76" s="1365" t="str">
        <f t="shared" ref="AH76" si="163">IFERROR(ROUNDDOWN(ROUND(L74*U76,0),0)*AF76,"")</f>
        <v/>
      </c>
      <c r="AI76" s="1367" t="str">
        <f t="shared" ref="AI76" si="164">IFERROR(ROUNDDOWN(ROUND((L74*(U76-AW74)),0),0)*AF76,"")</f>
        <v/>
      </c>
      <c r="AJ76" s="1369">
        <f>IFERROR(IF(OR(M74="",M75="",M77=""),0,ROUNDDOWN(ROUNDDOWN(ROUND(L74*VLOOKUP(K74,【参考】数式用!$A$5:$AB$37,MATCH("新加算Ⅳ",【参考】数式用!$B$4:$AB$4,0)+1,0),0),0)*AF76*0.5,0)),"")</f>
        <v>0</v>
      </c>
      <c r="AK76" s="1339" t="str">
        <f t="shared" ref="AK76" si="165">IF(T76&lt;&gt;"","新規に適用","")</f>
        <v/>
      </c>
      <c r="AL76" s="1343">
        <f>IFERROR(IF(OR(M77="ベア加算",M77=""),0, IF(OR(T74="新加算Ⅰ",T74="新加算Ⅱ",T74="新加算Ⅲ",T74="新加算Ⅳ"),0,ROUNDDOWN(ROUND(L74*VLOOKUP(K74,【参考】数式用!$A$5:$I$37,MATCH("ベア加算",【参考】数式用!$B$4:$I$4,0)+1,0),0),0)*AF76)),"")</f>
        <v>0</v>
      </c>
      <c r="AM76" s="1313" t="str">
        <f>IF(AND(T76&lt;&gt;"",AM74=""),"新規に適用",IF(AND(T76&lt;&gt;"",AM74&lt;&gt;""),"継続で適用",""))</f>
        <v/>
      </c>
      <c r="AN76" s="1313" t="str">
        <f>IF(AND(T76&lt;&gt;"",AN74=""),"新規に適用",IF(AND(T76&lt;&gt;"",AN74&lt;&gt;""),"継続で適用",""))</f>
        <v/>
      </c>
      <c r="AO76" s="1361"/>
      <c r="AP76" s="1313" t="str">
        <f>IF(AND(T76&lt;&gt;"",AP74=""),"新規に適用",IF(AND(T76&lt;&gt;"",AP74&lt;&gt;""),"継続で適用",""))</f>
        <v/>
      </c>
      <c r="AQ76" s="1317" t="str">
        <f t="shared" si="66"/>
        <v/>
      </c>
      <c r="AR76" s="1313" t="str">
        <f>IF(AND(T76&lt;&gt;"",AR74=""),"新規に適用",IF(AND(T76&lt;&gt;"",AR74&lt;&gt;""),"継続で適用",""))</f>
        <v/>
      </c>
      <c r="AS76" s="1302"/>
      <c r="AT76" s="554"/>
      <c r="AU76" s="1303" t="str">
        <f>IF(K74&lt;&gt;"","V列に色付け","")</f>
        <v/>
      </c>
      <c r="AV76" s="1304"/>
      <c r="AW76" s="1305"/>
      <c r="AX76"/>
      <c r="AY76"/>
      <c r="AZ76"/>
      <c r="BA76"/>
      <c r="BB76"/>
      <c r="BC76"/>
      <c r="BD76"/>
      <c r="BE76"/>
      <c r="BF76"/>
      <c r="BG76"/>
      <c r="BH76"/>
      <c r="BI76"/>
      <c r="BJ76"/>
      <c r="BK76" s="452" t="str">
        <f>G74</f>
        <v/>
      </c>
    </row>
    <row r="77" spans="1:63" ht="30" customHeight="1" thickBot="1">
      <c r="A77" s="1268"/>
      <c r="B77" s="1411"/>
      <c r="C77" s="1412"/>
      <c r="D77" s="1412"/>
      <c r="E77" s="1412"/>
      <c r="F77" s="1413"/>
      <c r="G77" s="1253"/>
      <c r="H77" s="1253"/>
      <c r="I77" s="1253"/>
      <c r="J77" s="1416"/>
      <c r="K77" s="1253"/>
      <c r="L77" s="1277"/>
      <c r="M77" s="553" t="str">
        <f>IF('別紙様式2-2（４・５月分）'!P61="","",'別紙様式2-2（４・５月分）'!P61)</f>
        <v/>
      </c>
      <c r="N77" s="1394"/>
      <c r="O77" s="1374"/>
      <c r="P77" s="1376"/>
      <c r="Q77" s="1378"/>
      <c r="R77" s="1380"/>
      <c r="S77" s="1382"/>
      <c r="T77" s="1384"/>
      <c r="U77" s="1386"/>
      <c r="V77" s="1388"/>
      <c r="W77" s="1390"/>
      <c r="X77" s="1364"/>
      <c r="Y77" s="1390"/>
      <c r="Z77" s="1364"/>
      <c r="AA77" s="1390"/>
      <c r="AB77" s="1364"/>
      <c r="AC77" s="1390"/>
      <c r="AD77" s="1364"/>
      <c r="AE77" s="1364"/>
      <c r="AF77" s="1364"/>
      <c r="AG77" s="1360"/>
      <c r="AH77" s="1366"/>
      <c r="AI77" s="1368"/>
      <c r="AJ77" s="1370"/>
      <c r="AK77" s="1340"/>
      <c r="AL77" s="1344"/>
      <c r="AM77" s="1314"/>
      <c r="AN77" s="1314"/>
      <c r="AO77" s="1362"/>
      <c r="AP77" s="1314"/>
      <c r="AQ77" s="1318"/>
      <c r="AR77" s="1314"/>
      <c r="AS77" s="490"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4"/>
      <c r="AU77" s="1303"/>
      <c r="AV77" s="555" t="str">
        <f>IF('別紙様式2-2（４・５月分）'!N61="","",'別紙様式2-2（４・５月分）'!N61)</f>
        <v/>
      </c>
      <c r="AW77" s="1305"/>
      <c r="AX77"/>
      <c r="AY77"/>
      <c r="AZ77"/>
      <c r="BA77"/>
      <c r="BB77"/>
      <c r="BC77"/>
      <c r="BD77"/>
      <c r="BE77"/>
      <c r="BF77"/>
      <c r="BG77"/>
      <c r="BH77"/>
      <c r="BI77"/>
      <c r="BJ77"/>
      <c r="BK77" s="452" t="str">
        <f>G74</f>
        <v/>
      </c>
    </row>
    <row r="78" spans="1:63" ht="30" customHeight="1">
      <c r="A78" s="1266">
        <v>17</v>
      </c>
      <c r="B78" s="1232" t="str">
        <f>IF(基本情報入力シート!C70="","",基本情報入力シート!C70)</f>
        <v/>
      </c>
      <c r="C78" s="1233"/>
      <c r="D78" s="1233"/>
      <c r="E78" s="1233"/>
      <c r="F78" s="1234"/>
      <c r="G78" s="1251" t="str">
        <f>IF(基本情報入力シート!M70="","",基本情報入力シート!M70)</f>
        <v/>
      </c>
      <c r="H78" s="1251" t="str">
        <f>IF(基本情報入力シート!R70="","",基本情報入力シート!R70)</f>
        <v/>
      </c>
      <c r="I78" s="1251" t="str">
        <f>IF(基本情報入力シート!W70="","",基本情報入力シート!W70)</f>
        <v/>
      </c>
      <c r="J78" s="1414" t="str">
        <f>IF(基本情報入力シート!X70="","",基本情報入力シート!X70)</f>
        <v/>
      </c>
      <c r="K78" s="1251" t="str">
        <f>IF(基本情報入力シート!Y70="","",基本情報入力シート!Y70)</f>
        <v/>
      </c>
      <c r="L78" s="1275" t="str">
        <f>IF(基本情報入力シート!AB70="","",基本情報入力シート!AB70)</f>
        <v/>
      </c>
      <c r="M78" s="550" t="str">
        <f>IF('別紙様式2-2（４・５月分）'!P62="","",'別紙様式2-2（４・５月分）'!P62)</f>
        <v/>
      </c>
      <c r="N78" s="1391" t="str">
        <f>IF(SUM('別紙様式2-2（４・５月分）'!Q62:Q64)=0,"",SUM('別紙様式2-2（４・５月分）'!Q62:Q64))</f>
        <v/>
      </c>
      <c r="O78" s="1395" t="str">
        <f>IFERROR(VLOOKUP('別紙様式2-2（４・５月分）'!AQ62,【参考】数式用!$AR$5:$AS$22,2,FALSE),"")</f>
        <v/>
      </c>
      <c r="P78" s="1396"/>
      <c r="Q78" s="1397"/>
      <c r="R78" s="1401" t="str">
        <f>IFERROR(VLOOKUP(K78,【参考】数式用!$A$5:$AB$37,MATCH(O78,【参考】数式用!$B$4:$AB$4,0)+1,0),"")</f>
        <v/>
      </c>
      <c r="S78" s="1403" t="s">
        <v>2021</v>
      </c>
      <c r="T78" s="1405"/>
      <c r="U78" s="1407" t="str">
        <f>IFERROR(VLOOKUP(K78,【参考】数式用!$A$5:$AB$37,MATCH(T78,【参考】数式用!$B$4:$AB$4,0)+1,0),"")</f>
        <v/>
      </c>
      <c r="V78" s="1409" t="s">
        <v>15</v>
      </c>
      <c r="W78" s="1347">
        <v>6</v>
      </c>
      <c r="X78" s="1349" t="s">
        <v>10</v>
      </c>
      <c r="Y78" s="1347">
        <v>6</v>
      </c>
      <c r="Z78" s="1349" t="s">
        <v>38</v>
      </c>
      <c r="AA78" s="1347">
        <v>7</v>
      </c>
      <c r="AB78" s="1349" t="s">
        <v>10</v>
      </c>
      <c r="AC78" s="1347">
        <v>3</v>
      </c>
      <c r="AD78" s="1349" t="s">
        <v>13</v>
      </c>
      <c r="AE78" s="1349" t="s">
        <v>20</v>
      </c>
      <c r="AF78" s="1349">
        <f>IF(W78&gt;=1,(AA78*12+AC78)-(W78*12+Y78)+1,"")</f>
        <v>10</v>
      </c>
      <c r="AG78" s="1351" t="s">
        <v>33</v>
      </c>
      <c r="AH78" s="1353" t="str">
        <f t="shared" ref="AH78" si="167">IFERROR(ROUNDDOWN(ROUND(L78*U78,0),0)*AF78,"")</f>
        <v/>
      </c>
      <c r="AI78" s="1355" t="str">
        <f t="shared" ref="AI78" si="168">IFERROR(ROUNDDOWN(ROUND((L78*(U78-AW78)),0),0)*AF78,"")</f>
        <v/>
      </c>
      <c r="AJ78" s="1357">
        <f>IFERROR(IF(OR(M78="",M79="",M81=""),0,ROUNDDOWN(ROUNDDOWN(ROUND(L78*VLOOKUP(K78,【参考】数式用!$A$5:$AB$37,MATCH("新加算Ⅳ",【参考】数式用!$B$4:$AB$4,0)+1,0),0),0)*AF78*0.5,0)),"")</f>
        <v>0</v>
      </c>
      <c r="AK78" s="1341"/>
      <c r="AL78" s="1345">
        <f>IFERROR(IF(OR(M81="ベア加算",M81=""),0, IF(OR(T78="新加算Ⅰ",T78="新加算Ⅱ",T78="新加算Ⅲ",T78="新加算Ⅳ"),ROUNDDOWN(ROUND(L78*VLOOKUP(K78,【参考】数式用!$A$5:$I$37,MATCH("ベア加算",【参考】数式用!$B$4:$I$4,0)+1,0),0),0)*AF78,0)),"")</f>
        <v>0</v>
      </c>
      <c r="AM78" s="1331"/>
      <c r="AN78" s="1337"/>
      <c r="AO78" s="1333"/>
      <c r="AP78" s="1333"/>
      <c r="AQ78" s="1335"/>
      <c r="AR78" s="1315"/>
      <c r="AS78" s="465" t="str">
        <f t="shared" ref="AS78" si="169">IF(AU78="","",IF(U78&lt;N78,"！加算の要件上は問題ありませんが、令和６年４・５月と比較して令和６年６月に加算率が下がる計画になっています。",""))</f>
        <v/>
      </c>
      <c r="AT78" s="554"/>
      <c r="AU78" s="1303" t="str">
        <f>IF(K78&lt;&gt;"","V列に色付け","")</f>
        <v/>
      </c>
      <c r="AV78" s="555" t="str">
        <f>IF('別紙様式2-2（４・５月分）'!N62="","",'別紙様式2-2（４・５月分）'!N62)</f>
        <v/>
      </c>
      <c r="AW78" s="1305" t="str">
        <f>IF(SUM('別紙様式2-2（４・５月分）'!O62:O64)=0,"",SUM('別紙様式2-2（４・５月分）'!O62:O64))</f>
        <v/>
      </c>
      <c r="AX78" s="1306" t="str">
        <f>IFERROR(VLOOKUP(K78,【参考】数式用!$AH$2:$AI$34,2,FALSE),"")</f>
        <v/>
      </c>
      <c r="AY78" s="1222" t="s">
        <v>1959</v>
      </c>
      <c r="AZ78" s="1222" t="s">
        <v>1960</v>
      </c>
      <c r="BA78" s="1222" t="s">
        <v>1961</v>
      </c>
      <c r="BB78" s="1222" t="s">
        <v>1962</v>
      </c>
      <c r="BC78" s="1222" t="str">
        <f>IF(AND(O78&lt;&gt;"新加算Ⅰ",O78&lt;&gt;"新加算Ⅱ",O78&lt;&gt;"新加算Ⅲ",O78&lt;&gt;"新加算Ⅳ"),O78,IF(P80&lt;&gt;"",P80,""))</f>
        <v/>
      </c>
      <c r="BD78" s="1222"/>
      <c r="BE78" s="1222" t="str">
        <f t="shared" ref="BE78" si="170">IF(AL78&lt;&gt;0,IF(AM78="○","入力済","未入力"),"")</f>
        <v/>
      </c>
      <c r="BF78" s="1222"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2" t="str">
        <f>IF(OR(T78="新加算Ⅴ（７）",T78="新加算Ⅴ（９）",T78="新加算Ⅴ（10）",T78="新加算Ⅴ（12）",T78="新加算Ⅴ（13）",T78="新加算Ⅴ（14）"),IF(OR(AO78="○",AO78="令和６年度中に満たす"),"入力済","未入力"),"")</f>
        <v/>
      </c>
      <c r="BH78" s="1323" t="str">
        <f t="shared" ref="BH78" si="171">IF(OR(T78="新加算Ⅰ",T78="新加算Ⅱ",T78="新加算Ⅲ",T78="新加算Ⅴ（１）",T78="新加算Ⅴ（３）",T78="新加算Ⅴ（８）"),IF(OR(AP78="○",AP78="令和６年度中に満たす"),"入力済","未入力"),"")</f>
        <v/>
      </c>
      <c r="BI78" s="1325" t="str">
        <f t="shared" ref="BI78" si="172">IF(OR(T78="新加算Ⅰ",T78="新加算Ⅱ",T78="新加算Ⅴ（１）",T78="新加算Ⅴ（２）",T78="新加算Ⅴ（３）",T78="新加算Ⅴ（４）",T78="新加算Ⅴ（５）",T78="新加算Ⅴ（６）",T78="新加算Ⅴ（７）",T78="新加算Ⅴ（９）",T78="新加算Ⅴ（10）",T78="新加算Ⅴ（12）"),1,"")</f>
        <v/>
      </c>
      <c r="BJ78" s="1303" t="str">
        <f>IF(OR(T78="新加算Ⅰ",T78="新加算Ⅴ（１）",T78="新加算Ⅴ（２）",T78="新加算Ⅴ（５）",T78="新加算Ⅴ（７）",T78="新加算Ⅴ（10）"),IF(AR78="","未入力","入力済"),"")</f>
        <v/>
      </c>
      <c r="BK78" s="452" t="str">
        <f>G78</f>
        <v/>
      </c>
    </row>
    <row r="79" spans="1:63" ht="15" customHeight="1">
      <c r="A79" s="1267"/>
      <c r="B79" s="1235"/>
      <c r="C79" s="1236"/>
      <c r="D79" s="1236"/>
      <c r="E79" s="1236"/>
      <c r="F79" s="1237"/>
      <c r="G79" s="1252"/>
      <c r="H79" s="1252"/>
      <c r="I79" s="1252"/>
      <c r="J79" s="1415"/>
      <c r="K79" s="1252"/>
      <c r="L79" s="1276"/>
      <c r="M79" s="1371" t="str">
        <f>IF('別紙様式2-2（４・５月分）'!P63="","",'別紙様式2-2（４・５月分）'!P63)</f>
        <v/>
      </c>
      <c r="N79" s="1392"/>
      <c r="O79" s="1398"/>
      <c r="P79" s="1399"/>
      <c r="Q79" s="1400"/>
      <c r="R79" s="1402"/>
      <c r="S79" s="1404"/>
      <c r="T79" s="1406"/>
      <c r="U79" s="1408"/>
      <c r="V79" s="1410"/>
      <c r="W79" s="1348"/>
      <c r="X79" s="1350"/>
      <c r="Y79" s="1348"/>
      <c r="Z79" s="1350"/>
      <c r="AA79" s="1348"/>
      <c r="AB79" s="1350"/>
      <c r="AC79" s="1348"/>
      <c r="AD79" s="1350"/>
      <c r="AE79" s="1350"/>
      <c r="AF79" s="1350"/>
      <c r="AG79" s="1352"/>
      <c r="AH79" s="1354"/>
      <c r="AI79" s="1356"/>
      <c r="AJ79" s="1358"/>
      <c r="AK79" s="1342"/>
      <c r="AL79" s="1346"/>
      <c r="AM79" s="1332"/>
      <c r="AN79" s="1338"/>
      <c r="AO79" s="1334"/>
      <c r="AP79" s="1334"/>
      <c r="AQ79" s="1336"/>
      <c r="AR79" s="1316"/>
      <c r="AS79" s="1302"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4"/>
      <c r="AU79" s="1303"/>
      <c r="AV79" s="1304" t="str">
        <f>IF('別紙様式2-2（４・５月分）'!N63="","",'別紙様式2-2（４・５月分）'!N63)</f>
        <v/>
      </c>
      <c r="AW79" s="1305"/>
      <c r="AX79" s="1306"/>
      <c r="AY79" s="1222"/>
      <c r="AZ79" s="1222"/>
      <c r="BA79" s="1222"/>
      <c r="BB79" s="1222"/>
      <c r="BC79" s="1222"/>
      <c r="BD79" s="1222"/>
      <c r="BE79" s="1222"/>
      <c r="BF79" s="1222"/>
      <c r="BG79" s="1222"/>
      <c r="BH79" s="1324"/>
      <c r="BI79" s="1326"/>
      <c r="BJ79" s="1303"/>
      <c r="BK79" s="452" t="str">
        <f>G78</f>
        <v/>
      </c>
    </row>
    <row r="80" spans="1:63" ht="15" customHeight="1">
      <c r="A80" s="1295"/>
      <c r="B80" s="1235"/>
      <c r="C80" s="1236"/>
      <c r="D80" s="1236"/>
      <c r="E80" s="1236"/>
      <c r="F80" s="1237"/>
      <c r="G80" s="1252"/>
      <c r="H80" s="1252"/>
      <c r="I80" s="1252"/>
      <c r="J80" s="1415"/>
      <c r="K80" s="1252"/>
      <c r="L80" s="1276"/>
      <c r="M80" s="1372"/>
      <c r="N80" s="1393"/>
      <c r="O80" s="1373" t="s">
        <v>2025</v>
      </c>
      <c r="P80" s="1375" t="str">
        <f>IFERROR(VLOOKUP('別紙様式2-2（４・５月分）'!AQ62,【参考】数式用!$AR$5:$AT$22,3,FALSE),"")</f>
        <v/>
      </c>
      <c r="Q80" s="1377" t="s">
        <v>2036</v>
      </c>
      <c r="R80" s="1379" t="str">
        <f>IFERROR(VLOOKUP(K78,【参考】数式用!$A$5:$AB$37,MATCH(P80,【参考】数式用!$B$4:$AB$4,0)+1,0),"")</f>
        <v/>
      </c>
      <c r="S80" s="1381" t="s">
        <v>161</v>
      </c>
      <c r="T80" s="1383"/>
      <c r="U80" s="1385" t="str">
        <f>IFERROR(VLOOKUP(K78,【参考】数式用!$A$5:$AB$37,MATCH(T80,【参考】数式用!$B$4:$AB$4,0)+1,0),"")</f>
        <v/>
      </c>
      <c r="V80" s="1387" t="s">
        <v>15</v>
      </c>
      <c r="W80" s="1389">
        <v>7</v>
      </c>
      <c r="X80" s="1363" t="s">
        <v>10</v>
      </c>
      <c r="Y80" s="1389">
        <v>4</v>
      </c>
      <c r="Z80" s="1363" t="s">
        <v>38</v>
      </c>
      <c r="AA80" s="1389">
        <v>8</v>
      </c>
      <c r="AB80" s="1363" t="s">
        <v>10</v>
      </c>
      <c r="AC80" s="1389">
        <v>3</v>
      </c>
      <c r="AD80" s="1363" t="s">
        <v>13</v>
      </c>
      <c r="AE80" s="1363" t="s">
        <v>20</v>
      </c>
      <c r="AF80" s="1363">
        <f>IF(W80&gt;=1,(AA80*12+AC80)-(W80*12+Y80)+1,"")</f>
        <v>12</v>
      </c>
      <c r="AG80" s="1359" t="s">
        <v>33</v>
      </c>
      <c r="AH80" s="1365" t="str">
        <f t="shared" ref="AH80" si="174">IFERROR(ROUNDDOWN(ROUND(L78*U80,0),0)*AF80,"")</f>
        <v/>
      </c>
      <c r="AI80" s="1367" t="str">
        <f t="shared" ref="AI80" si="175">IFERROR(ROUNDDOWN(ROUND((L78*(U80-AW78)),0),0)*AF80,"")</f>
        <v/>
      </c>
      <c r="AJ80" s="1369">
        <f>IFERROR(IF(OR(M78="",M79="",M81=""),0,ROUNDDOWN(ROUNDDOWN(ROUND(L78*VLOOKUP(K78,【参考】数式用!$A$5:$AB$37,MATCH("新加算Ⅳ",【参考】数式用!$B$4:$AB$4,0)+1,0),0),0)*AF80*0.5,0)),"")</f>
        <v>0</v>
      </c>
      <c r="AK80" s="1339" t="str">
        <f t="shared" ref="AK80" si="176">IF(T80&lt;&gt;"","新規に適用","")</f>
        <v/>
      </c>
      <c r="AL80" s="1343">
        <f>IFERROR(IF(OR(M81="ベア加算",M81=""),0, IF(OR(T78="新加算Ⅰ",T78="新加算Ⅱ",T78="新加算Ⅲ",T78="新加算Ⅳ"),0,ROUNDDOWN(ROUND(L78*VLOOKUP(K78,【参考】数式用!$A$5:$I$37,MATCH("ベア加算",【参考】数式用!$B$4:$I$4,0)+1,0),0),0)*AF80)),"")</f>
        <v>0</v>
      </c>
      <c r="AM80" s="1313" t="str">
        <f>IF(AND(T80&lt;&gt;"",AM78=""),"新規に適用",IF(AND(T80&lt;&gt;"",AM78&lt;&gt;""),"継続で適用",""))</f>
        <v/>
      </c>
      <c r="AN80" s="1313" t="str">
        <f>IF(AND(T80&lt;&gt;"",AN78=""),"新規に適用",IF(AND(T80&lt;&gt;"",AN78&lt;&gt;""),"継続で適用",""))</f>
        <v/>
      </c>
      <c r="AO80" s="1361"/>
      <c r="AP80" s="1313" t="str">
        <f>IF(AND(T80&lt;&gt;"",AP78=""),"新規に適用",IF(AND(T80&lt;&gt;"",AP78&lt;&gt;""),"継続で適用",""))</f>
        <v/>
      </c>
      <c r="AQ80" s="1317" t="str">
        <f t="shared" si="66"/>
        <v/>
      </c>
      <c r="AR80" s="1313" t="str">
        <f>IF(AND(T80&lt;&gt;"",AR78=""),"新規に適用",IF(AND(T80&lt;&gt;"",AR78&lt;&gt;""),"継続で適用",""))</f>
        <v/>
      </c>
      <c r="AS80" s="1302"/>
      <c r="AT80" s="554"/>
      <c r="AU80" s="1303" t="str">
        <f>IF(K78&lt;&gt;"","V列に色付け","")</f>
        <v/>
      </c>
      <c r="AV80" s="1304"/>
      <c r="AW80" s="1305"/>
      <c r="AX80"/>
      <c r="AY80"/>
      <c r="AZ80"/>
      <c r="BA80"/>
      <c r="BB80"/>
      <c r="BC80"/>
      <c r="BD80"/>
      <c r="BE80"/>
      <c r="BF80"/>
      <c r="BG80"/>
      <c r="BH80"/>
      <c r="BI80"/>
      <c r="BJ80"/>
      <c r="BK80" s="452" t="str">
        <f>G78</f>
        <v/>
      </c>
    </row>
    <row r="81" spans="1:63" ht="30" customHeight="1" thickBot="1">
      <c r="A81" s="1268"/>
      <c r="B81" s="1411"/>
      <c r="C81" s="1412"/>
      <c r="D81" s="1412"/>
      <c r="E81" s="1412"/>
      <c r="F81" s="1413"/>
      <c r="G81" s="1253"/>
      <c r="H81" s="1253"/>
      <c r="I81" s="1253"/>
      <c r="J81" s="1416"/>
      <c r="K81" s="1253"/>
      <c r="L81" s="1277"/>
      <c r="M81" s="553" t="str">
        <f>IF('別紙様式2-2（４・５月分）'!P64="","",'別紙様式2-2（４・５月分）'!P64)</f>
        <v/>
      </c>
      <c r="N81" s="1394"/>
      <c r="O81" s="1374"/>
      <c r="P81" s="1376"/>
      <c r="Q81" s="1378"/>
      <c r="R81" s="1380"/>
      <c r="S81" s="1382"/>
      <c r="T81" s="1384"/>
      <c r="U81" s="1386"/>
      <c r="V81" s="1388"/>
      <c r="W81" s="1390"/>
      <c r="X81" s="1364"/>
      <c r="Y81" s="1390"/>
      <c r="Z81" s="1364"/>
      <c r="AA81" s="1390"/>
      <c r="AB81" s="1364"/>
      <c r="AC81" s="1390"/>
      <c r="AD81" s="1364"/>
      <c r="AE81" s="1364"/>
      <c r="AF81" s="1364"/>
      <c r="AG81" s="1360"/>
      <c r="AH81" s="1366"/>
      <c r="AI81" s="1368"/>
      <c r="AJ81" s="1370"/>
      <c r="AK81" s="1340"/>
      <c r="AL81" s="1344"/>
      <c r="AM81" s="1314"/>
      <c r="AN81" s="1314"/>
      <c r="AO81" s="1362"/>
      <c r="AP81" s="1314"/>
      <c r="AQ81" s="1318"/>
      <c r="AR81" s="1314"/>
      <c r="AS81" s="490"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4"/>
      <c r="AU81" s="1303"/>
      <c r="AV81" s="555" t="str">
        <f>IF('別紙様式2-2（４・５月分）'!N64="","",'別紙様式2-2（４・５月分）'!N64)</f>
        <v/>
      </c>
      <c r="AW81" s="1305"/>
      <c r="AX81"/>
      <c r="AY81"/>
      <c r="AZ81"/>
      <c r="BA81"/>
      <c r="BB81"/>
      <c r="BC81"/>
      <c r="BD81"/>
      <c r="BE81"/>
      <c r="BF81"/>
      <c r="BG81"/>
      <c r="BH81"/>
      <c r="BI81"/>
      <c r="BJ81"/>
      <c r="BK81" s="452" t="str">
        <f>G78</f>
        <v/>
      </c>
    </row>
    <row r="82" spans="1:63" ht="30" customHeight="1">
      <c r="A82" s="1293">
        <v>18</v>
      </c>
      <c r="B82" s="1235" t="str">
        <f>IF(基本情報入力シート!C71="","",基本情報入力シート!C71)</f>
        <v/>
      </c>
      <c r="C82" s="1236"/>
      <c r="D82" s="1236"/>
      <c r="E82" s="1236"/>
      <c r="F82" s="1237"/>
      <c r="G82" s="1252" t="str">
        <f>IF(基本情報入力シート!M71="","",基本情報入力シート!M71)</f>
        <v/>
      </c>
      <c r="H82" s="1252" t="str">
        <f>IF(基本情報入力シート!R71="","",基本情報入力シート!R71)</f>
        <v/>
      </c>
      <c r="I82" s="1252" t="str">
        <f>IF(基本情報入力シート!W71="","",基本情報入力シート!W71)</f>
        <v/>
      </c>
      <c r="J82" s="1415" t="str">
        <f>IF(基本情報入力シート!X71="","",基本情報入力シート!X71)</f>
        <v/>
      </c>
      <c r="K82" s="1252" t="str">
        <f>IF(基本情報入力シート!Y71="","",基本情報入力シート!Y71)</f>
        <v/>
      </c>
      <c r="L82" s="1276" t="str">
        <f>IF(基本情報入力シート!AB71="","",基本情報入力シート!AB71)</f>
        <v/>
      </c>
      <c r="M82" s="550" t="str">
        <f>IF('別紙様式2-2（４・５月分）'!P65="","",'別紙様式2-2（４・５月分）'!P65)</f>
        <v/>
      </c>
      <c r="N82" s="1391" t="str">
        <f>IF(SUM('別紙様式2-2（４・５月分）'!Q65:Q67)=0,"",SUM('別紙様式2-2（４・５月分）'!Q65:Q67))</f>
        <v/>
      </c>
      <c r="O82" s="1395" t="str">
        <f>IFERROR(VLOOKUP('別紙様式2-2（４・５月分）'!AQ65,【参考】数式用!$AR$5:$AS$22,2,FALSE),"")</f>
        <v/>
      </c>
      <c r="P82" s="1396"/>
      <c r="Q82" s="1397"/>
      <c r="R82" s="1401" t="str">
        <f>IFERROR(VLOOKUP(K82,【参考】数式用!$A$5:$AB$37,MATCH(O82,【参考】数式用!$B$4:$AB$4,0)+1,0),"")</f>
        <v/>
      </c>
      <c r="S82" s="1403" t="s">
        <v>2021</v>
      </c>
      <c r="T82" s="1405"/>
      <c r="U82" s="1407" t="str">
        <f>IFERROR(VLOOKUP(K82,【参考】数式用!$A$5:$AB$37,MATCH(T82,【参考】数式用!$B$4:$AB$4,0)+1,0),"")</f>
        <v/>
      </c>
      <c r="V82" s="1409" t="s">
        <v>15</v>
      </c>
      <c r="W82" s="1347">
        <v>6</v>
      </c>
      <c r="X82" s="1349" t="s">
        <v>10</v>
      </c>
      <c r="Y82" s="1347">
        <v>6</v>
      </c>
      <c r="Z82" s="1349" t="s">
        <v>38</v>
      </c>
      <c r="AA82" s="1347">
        <v>7</v>
      </c>
      <c r="AB82" s="1349" t="s">
        <v>10</v>
      </c>
      <c r="AC82" s="1347">
        <v>3</v>
      </c>
      <c r="AD82" s="1349" t="s">
        <v>13</v>
      </c>
      <c r="AE82" s="1349" t="s">
        <v>20</v>
      </c>
      <c r="AF82" s="1349">
        <f>IF(W82&gt;=1,(AA82*12+AC82)-(W82*12+Y82)+1,"")</f>
        <v>10</v>
      </c>
      <c r="AG82" s="1351" t="s">
        <v>33</v>
      </c>
      <c r="AH82" s="1353" t="str">
        <f t="shared" ref="AH82" si="178">IFERROR(ROUNDDOWN(ROUND(L82*U82,0),0)*AF82,"")</f>
        <v/>
      </c>
      <c r="AI82" s="1355" t="str">
        <f t="shared" ref="AI82" si="179">IFERROR(ROUNDDOWN(ROUND((L82*(U82-AW82)),0),0)*AF82,"")</f>
        <v/>
      </c>
      <c r="AJ82" s="1357">
        <f>IFERROR(IF(OR(M82="",M83="",M85=""),0,ROUNDDOWN(ROUNDDOWN(ROUND(L82*VLOOKUP(K82,【参考】数式用!$A$5:$AB$37,MATCH("新加算Ⅳ",【参考】数式用!$B$4:$AB$4,0)+1,0),0),0)*AF82*0.5,0)),"")</f>
        <v>0</v>
      </c>
      <c r="AK82" s="1341"/>
      <c r="AL82" s="1345">
        <f>IFERROR(IF(OR(M85="ベア加算",M85=""),0, IF(OR(T82="新加算Ⅰ",T82="新加算Ⅱ",T82="新加算Ⅲ",T82="新加算Ⅳ"),ROUNDDOWN(ROUND(L82*VLOOKUP(K82,【参考】数式用!$A$5:$I$37,MATCH("ベア加算",【参考】数式用!$B$4:$I$4,0)+1,0),0),0)*AF82,0)),"")</f>
        <v>0</v>
      </c>
      <c r="AM82" s="1331"/>
      <c r="AN82" s="1337"/>
      <c r="AO82" s="1333"/>
      <c r="AP82" s="1333"/>
      <c r="AQ82" s="1335"/>
      <c r="AR82" s="1315"/>
      <c r="AS82" s="465" t="str">
        <f t="shared" ref="AS82" si="180">IF(AU82="","",IF(U82&lt;N82,"！加算の要件上は問題ありませんが、令和６年４・５月と比較して令和６年６月に加算率が下がる計画になっています。",""))</f>
        <v/>
      </c>
      <c r="AT82" s="554"/>
      <c r="AU82" s="1303" t="str">
        <f>IF(K82&lt;&gt;"","V列に色付け","")</f>
        <v/>
      </c>
      <c r="AV82" s="555" t="str">
        <f>IF('別紙様式2-2（４・５月分）'!N65="","",'別紙様式2-2（４・５月分）'!N65)</f>
        <v/>
      </c>
      <c r="AW82" s="1305" t="str">
        <f>IF(SUM('別紙様式2-2（４・５月分）'!O65:O67)=0,"",SUM('別紙様式2-2（４・５月分）'!O65:O67))</f>
        <v/>
      </c>
      <c r="AX82" s="1306" t="str">
        <f>IFERROR(VLOOKUP(K82,【参考】数式用!$AH$2:$AI$34,2,FALSE),"")</f>
        <v/>
      </c>
      <c r="AY82" s="1222" t="s">
        <v>1959</v>
      </c>
      <c r="AZ82" s="1222" t="s">
        <v>1960</v>
      </c>
      <c r="BA82" s="1222" t="s">
        <v>1961</v>
      </c>
      <c r="BB82" s="1222" t="s">
        <v>1962</v>
      </c>
      <c r="BC82" s="1222" t="str">
        <f>IF(AND(O82&lt;&gt;"新加算Ⅰ",O82&lt;&gt;"新加算Ⅱ",O82&lt;&gt;"新加算Ⅲ",O82&lt;&gt;"新加算Ⅳ"),O82,IF(P84&lt;&gt;"",P84,""))</f>
        <v/>
      </c>
      <c r="BD82" s="1222"/>
      <c r="BE82" s="1222" t="str">
        <f t="shared" ref="BE82" si="181">IF(AL82&lt;&gt;0,IF(AM82="○","入力済","未入力"),"")</f>
        <v/>
      </c>
      <c r="BF82" s="1222"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2" t="str">
        <f>IF(OR(T82="新加算Ⅴ（７）",T82="新加算Ⅴ（９）",T82="新加算Ⅴ（10）",T82="新加算Ⅴ（12）",T82="新加算Ⅴ（13）",T82="新加算Ⅴ（14）"),IF(OR(AO82="○",AO82="令和６年度中に満たす"),"入力済","未入力"),"")</f>
        <v/>
      </c>
      <c r="BH82" s="1323" t="str">
        <f t="shared" ref="BH82" si="182">IF(OR(T82="新加算Ⅰ",T82="新加算Ⅱ",T82="新加算Ⅲ",T82="新加算Ⅴ（１）",T82="新加算Ⅴ（３）",T82="新加算Ⅴ（８）"),IF(OR(AP82="○",AP82="令和６年度中に満たす"),"入力済","未入力"),"")</f>
        <v/>
      </c>
      <c r="BI82" s="1325" t="str">
        <f t="shared" ref="BI82" si="183">IF(OR(T82="新加算Ⅰ",T82="新加算Ⅱ",T82="新加算Ⅴ（１）",T82="新加算Ⅴ（２）",T82="新加算Ⅴ（３）",T82="新加算Ⅴ（４）",T82="新加算Ⅴ（５）",T82="新加算Ⅴ（６）",T82="新加算Ⅴ（７）",T82="新加算Ⅴ（９）",T82="新加算Ⅴ（10）",T82="新加算Ⅴ（12）"),1,"")</f>
        <v/>
      </c>
      <c r="BJ82" s="1303" t="str">
        <f>IF(OR(T82="新加算Ⅰ",T82="新加算Ⅴ（１）",T82="新加算Ⅴ（２）",T82="新加算Ⅴ（５）",T82="新加算Ⅴ（７）",T82="新加算Ⅴ（10）"),IF(AR82="","未入力","入力済"),"")</f>
        <v/>
      </c>
      <c r="BK82" s="452" t="str">
        <f>G82</f>
        <v/>
      </c>
    </row>
    <row r="83" spans="1:63" ht="15" customHeight="1">
      <c r="A83" s="1267"/>
      <c r="B83" s="1235"/>
      <c r="C83" s="1236"/>
      <c r="D83" s="1236"/>
      <c r="E83" s="1236"/>
      <c r="F83" s="1237"/>
      <c r="G83" s="1252"/>
      <c r="H83" s="1252"/>
      <c r="I83" s="1252"/>
      <c r="J83" s="1415"/>
      <c r="K83" s="1252"/>
      <c r="L83" s="1276"/>
      <c r="M83" s="1371" t="str">
        <f>IF('別紙様式2-2（４・５月分）'!P66="","",'別紙様式2-2（４・５月分）'!P66)</f>
        <v/>
      </c>
      <c r="N83" s="1392"/>
      <c r="O83" s="1398"/>
      <c r="P83" s="1399"/>
      <c r="Q83" s="1400"/>
      <c r="R83" s="1402"/>
      <c r="S83" s="1404"/>
      <c r="T83" s="1406"/>
      <c r="U83" s="1408"/>
      <c r="V83" s="1410"/>
      <c r="W83" s="1348"/>
      <c r="X83" s="1350"/>
      <c r="Y83" s="1348"/>
      <c r="Z83" s="1350"/>
      <c r="AA83" s="1348"/>
      <c r="AB83" s="1350"/>
      <c r="AC83" s="1348"/>
      <c r="AD83" s="1350"/>
      <c r="AE83" s="1350"/>
      <c r="AF83" s="1350"/>
      <c r="AG83" s="1352"/>
      <c r="AH83" s="1354"/>
      <c r="AI83" s="1356"/>
      <c r="AJ83" s="1358"/>
      <c r="AK83" s="1342"/>
      <c r="AL83" s="1346"/>
      <c r="AM83" s="1332"/>
      <c r="AN83" s="1338"/>
      <c r="AO83" s="1334"/>
      <c r="AP83" s="1334"/>
      <c r="AQ83" s="1336"/>
      <c r="AR83" s="1316"/>
      <c r="AS83" s="1302"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4"/>
      <c r="AU83" s="1303"/>
      <c r="AV83" s="1304" t="str">
        <f>IF('別紙様式2-2（４・５月分）'!N66="","",'別紙様式2-2（４・５月分）'!N66)</f>
        <v/>
      </c>
      <c r="AW83" s="1305"/>
      <c r="AX83" s="1306"/>
      <c r="AY83" s="1222"/>
      <c r="AZ83" s="1222"/>
      <c r="BA83" s="1222"/>
      <c r="BB83" s="1222"/>
      <c r="BC83" s="1222"/>
      <c r="BD83" s="1222"/>
      <c r="BE83" s="1222"/>
      <c r="BF83" s="1222"/>
      <c r="BG83" s="1222"/>
      <c r="BH83" s="1324"/>
      <c r="BI83" s="1326"/>
      <c r="BJ83" s="1303"/>
      <c r="BK83" s="452" t="str">
        <f>G82</f>
        <v/>
      </c>
    </row>
    <row r="84" spans="1:63" ht="15" customHeight="1">
      <c r="A84" s="1295"/>
      <c r="B84" s="1235"/>
      <c r="C84" s="1236"/>
      <c r="D84" s="1236"/>
      <c r="E84" s="1236"/>
      <c r="F84" s="1237"/>
      <c r="G84" s="1252"/>
      <c r="H84" s="1252"/>
      <c r="I84" s="1252"/>
      <c r="J84" s="1415"/>
      <c r="K84" s="1252"/>
      <c r="L84" s="1276"/>
      <c r="M84" s="1372"/>
      <c r="N84" s="1393"/>
      <c r="O84" s="1373" t="s">
        <v>2025</v>
      </c>
      <c r="P84" s="1375" t="str">
        <f>IFERROR(VLOOKUP('別紙様式2-2（４・５月分）'!AQ65,【参考】数式用!$AR$5:$AT$22,3,FALSE),"")</f>
        <v/>
      </c>
      <c r="Q84" s="1377" t="s">
        <v>2036</v>
      </c>
      <c r="R84" s="1379" t="str">
        <f>IFERROR(VLOOKUP(K82,【参考】数式用!$A$5:$AB$37,MATCH(P84,【参考】数式用!$B$4:$AB$4,0)+1,0),"")</f>
        <v/>
      </c>
      <c r="S84" s="1381" t="s">
        <v>161</v>
      </c>
      <c r="T84" s="1383"/>
      <c r="U84" s="1385" t="str">
        <f>IFERROR(VLOOKUP(K82,【参考】数式用!$A$5:$AB$37,MATCH(T84,【参考】数式用!$B$4:$AB$4,0)+1,0),"")</f>
        <v/>
      </c>
      <c r="V84" s="1387" t="s">
        <v>15</v>
      </c>
      <c r="W84" s="1389">
        <v>7</v>
      </c>
      <c r="X84" s="1363" t="s">
        <v>10</v>
      </c>
      <c r="Y84" s="1389">
        <v>4</v>
      </c>
      <c r="Z84" s="1363" t="s">
        <v>38</v>
      </c>
      <c r="AA84" s="1389">
        <v>8</v>
      </c>
      <c r="AB84" s="1363" t="s">
        <v>10</v>
      </c>
      <c r="AC84" s="1389">
        <v>3</v>
      </c>
      <c r="AD84" s="1363" t="s">
        <v>13</v>
      </c>
      <c r="AE84" s="1363" t="s">
        <v>20</v>
      </c>
      <c r="AF84" s="1363">
        <f>IF(W84&gt;=1,(AA84*12+AC84)-(W84*12+Y84)+1,"")</f>
        <v>12</v>
      </c>
      <c r="AG84" s="1359" t="s">
        <v>33</v>
      </c>
      <c r="AH84" s="1365" t="str">
        <f t="shared" ref="AH84" si="185">IFERROR(ROUNDDOWN(ROUND(L82*U84,0),0)*AF84,"")</f>
        <v/>
      </c>
      <c r="AI84" s="1367" t="str">
        <f t="shared" ref="AI84" si="186">IFERROR(ROUNDDOWN(ROUND((L82*(U84-AW82)),0),0)*AF84,"")</f>
        <v/>
      </c>
      <c r="AJ84" s="1369">
        <f>IFERROR(IF(OR(M82="",M83="",M85=""),0,ROUNDDOWN(ROUNDDOWN(ROUND(L82*VLOOKUP(K82,【参考】数式用!$A$5:$AB$37,MATCH("新加算Ⅳ",【参考】数式用!$B$4:$AB$4,0)+1,0),0),0)*AF84*0.5,0)),"")</f>
        <v>0</v>
      </c>
      <c r="AK84" s="1339" t="str">
        <f t="shared" ref="AK84" si="187">IF(T84&lt;&gt;"","新規に適用","")</f>
        <v/>
      </c>
      <c r="AL84" s="1343">
        <f>IFERROR(IF(OR(M85="ベア加算",M85=""),0, IF(OR(T82="新加算Ⅰ",T82="新加算Ⅱ",T82="新加算Ⅲ",T82="新加算Ⅳ"),0,ROUNDDOWN(ROUND(L82*VLOOKUP(K82,【参考】数式用!$A$5:$I$37,MATCH("ベア加算",【参考】数式用!$B$4:$I$4,0)+1,0),0),0)*AF84)),"")</f>
        <v>0</v>
      </c>
      <c r="AM84" s="1313" t="str">
        <f>IF(AND(T84&lt;&gt;"",AM82=""),"新規に適用",IF(AND(T84&lt;&gt;"",AM82&lt;&gt;""),"継続で適用",""))</f>
        <v/>
      </c>
      <c r="AN84" s="1313" t="str">
        <f>IF(AND(T84&lt;&gt;"",AN82=""),"新規に適用",IF(AND(T84&lt;&gt;"",AN82&lt;&gt;""),"継続で適用",""))</f>
        <v/>
      </c>
      <c r="AO84" s="1361"/>
      <c r="AP84" s="1313" t="str">
        <f>IF(AND(T84&lt;&gt;"",AP82=""),"新規に適用",IF(AND(T84&lt;&gt;"",AP82&lt;&gt;""),"継続で適用",""))</f>
        <v/>
      </c>
      <c r="AQ84" s="1317" t="str">
        <f t="shared" si="66"/>
        <v/>
      </c>
      <c r="AR84" s="1313" t="str">
        <f>IF(AND(T84&lt;&gt;"",AR82=""),"新規に適用",IF(AND(T84&lt;&gt;"",AR82&lt;&gt;""),"継続で適用",""))</f>
        <v/>
      </c>
      <c r="AS84" s="1302"/>
      <c r="AT84" s="554"/>
      <c r="AU84" s="1303" t="str">
        <f>IF(K82&lt;&gt;"","V列に色付け","")</f>
        <v/>
      </c>
      <c r="AV84" s="1304"/>
      <c r="AW84" s="1305"/>
      <c r="AX84"/>
      <c r="AY84"/>
      <c r="AZ84"/>
      <c r="BA84"/>
      <c r="BB84"/>
      <c r="BC84"/>
      <c r="BD84"/>
      <c r="BE84"/>
      <c r="BF84"/>
      <c r="BG84"/>
      <c r="BH84"/>
      <c r="BI84"/>
      <c r="BJ84"/>
      <c r="BK84" s="452" t="str">
        <f>G82</f>
        <v/>
      </c>
    </row>
    <row r="85" spans="1:63" ht="30" customHeight="1" thickBot="1">
      <c r="A85" s="1268"/>
      <c r="B85" s="1411"/>
      <c r="C85" s="1412"/>
      <c r="D85" s="1412"/>
      <c r="E85" s="1412"/>
      <c r="F85" s="1413"/>
      <c r="G85" s="1253"/>
      <c r="H85" s="1253"/>
      <c r="I85" s="1253"/>
      <c r="J85" s="1416"/>
      <c r="K85" s="1253"/>
      <c r="L85" s="1277"/>
      <c r="M85" s="553" t="str">
        <f>IF('別紙様式2-2（４・５月分）'!P67="","",'別紙様式2-2（４・５月分）'!P67)</f>
        <v/>
      </c>
      <c r="N85" s="1394"/>
      <c r="O85" s="1374"/>
      <c r="P85" s="1376"/>
      <c r="Q85" s="1378"/>
      <c r="R85" s="1380"/>
      <c r="S85" s="1382"/>
      <c r="T85" s="1384"/>
      <c r="U85" s="1386"/>
      <c r="V85" s="1388"/>
      <c r="W85" s="1390"/>
      <c r="X85" s="1364"/>
      <c r="Y85" s="1390"/>
      <c r="Z85" s="1364"/>
      <c r="AA85" s="1390"/>
      <c r="AB85" s="1364"/>
      <c r="AC85" s="1390"/>
      <c r="AD85" s="1364"/>
      <c r="AE85" s="1364"/>
      <c r="AF85" s="1364"/>
      <c r="AG85" s="1360"/>
      <c r="AH85" s="1366"/>
      <c r="AI85" s="1368"/>
      <c r="AJ85" s="1370"/>
      <c r="AK85" s="1340"/>
      <c r="AL85" s="1344"/>
      <c r="AM85" s="1314"/>
      <c r="AN85" s="1314"/>
      <c r="AO85" s="1362"/>
      <c r="AP85" s="1314"/>
      <c r="AQ85" s="1318"/>
      <c r="AR85" s="1314"/>
      <c r="AS85" s="490"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4"/>
      <c r="AU85" s="1303"/>
      <c r="AV85" s="555" t="str">
        <f>IF('別紙様式2-2（４・５月分）'!N67="","",'別紙様式2-2（４・５月分）'!N67)</f>
        <v/>
      </c>
      <c r="AW85" s="1305"/>
      <c r="AX85"/>
      <c r="AY85"/>
      <c r="AZ85"/>
      <c r="BA85"/>
      <c r="BB85"/>
      <c r="BC85"/>
      <c r="BD85"/>
      <c r="BE85"/>
      <c r="BF85"/>
      <c r="BG85"/>
      <c r="BH85"/>
      <c r="BI85"/>
      <c r="BJ85"/>
      <c r="BK85" s="452" t="str">
        <f>G82</f>
        <v/>
      </c>
    </row>
    <row r="86" spans="1:63" ht="30" customHeight="1">
      <c r="A86" s="1266">
        <v>19</v>
      </c>
      <c r="B86" s="1232" t="str">
        <f>IF(基本情報入力シート!C72="","",基本情報入力シート!C72)</f>
        <v/>
      </c>
      <c r="C86" s="1233"/>
      <c r="D86" s="1233"/>
      <c r="E86" s="1233"/>
      <c r="F86" s="1234"/>
      <c r="G86" s="1251" t="str">
        <f>IF(基本情報入力シート!M72="","",基本情報入力シート!M72)</f>
        <v/>
      </c>
      <c r="H86" s="1251" t="str">
        <f>IF(基本情報入力シート!R72="","",基本情報入力シート!R72)</f>
        <v/>
      </c>
      <c r="I86" s="1251" t="str">
        <f>IF(基本情報入力シート!W72="","",基本情報入力シート!W72)</f>
        <v/>
      </c>
      <c r="J86" s="1414" t="str">
        <f>IF(基本情報入力シート!X72="","",基本情報入力シート!X72)</f>
        <v/>
      </c>
      <c r="K86" s="1251" t="str">
        <f>IF(基本情報入力シート!Y72="","",基本情報入力シート!Y72)</f>
        <v/>
      </c>
      <c r="L86" s="1275" t="str">
        <f>IF(基本情報入力シート!AB72="","",基本情報入力シート!AB72)</f>
        <v/>
      </c>
      <c r="M86" s="550" t="str">
        <f>IF('別紙様式2-2（４・５月分）'!P68="","",'別紙様式2-2（４・５月分）'!P68)</f>
        <v/>
      </c>
      <c r="N86" s="1391" t="str">
        <f>IF(SUM('別紙様式2-2（４・５月分）'!Q68:Q70)=0,"",SUM('別紙様式2-2（４・５月分）'!Q68:Q70))</f>
        <v/>
      </c>
      <c r="O86" s="1395" t="str">
        <f>IFERROR(VLOOKUP('別紙様式2-2（４・５月分）'!AQ68,【参考】数式用!$AR$5:$AS$22,2,FALSE),"")</f>
        <v/>
      </c>
      <c r="P86" s="1396"/>
      <c r="Q86" s="1397"/>
      <c r="R86" s="1401" t="str">
        <f>IFERROR(VLOOKUP(K86,【参考】数式用!$A$5:$AB$37,MATCH(O86,【参考】数式用!$B$4:$AB$4,0)+1,0),"")</f>
        <v/>
      </c>
      <c r="S86" s="1403" t="s">
        <v>2021</v>
      </c>
      <c r="T86" s="1405"/>
      <c r="U86" s="1407" t="str">
        <f>IFERROR(VLOOKUP(K86,【参考】数式用!$A$5:$AB$37,MATCH(T86,【参考】数式用!$B$4:$AB$4,0)+1,0),"")</f>
        <v/>
      </c>
      <c r="V86" s="1409" t="s">
        <v>15</v>
      </c>
      <c r="W86" s="1347">
        <v>6</v>
      </c>
      <c r="X86" s="1349" t="s">
        <v>10</v>
      </c>
      <c r="Y86" s="1347">
        <v>6</v>
      </c>
      <c r="Z86" s="1349" t="s">
        <v>38</v>
      </c>
      <c r="AA86" s="1347">
        <v>7</v>
      </c>
      <c r="AB86" s="1349" t="s">
        <v>10</v>
      </c>
      <c r="AC86" s="1347">
        <v>3</v>
      </c>
      <c r="AD86" s="1349" t="s">
        <v>13</v>
      </c>
      <c r="AE86" s="1349" t="s">
        <v>20</v>
      </c>
      <c r="AF86" s="1349">
        <f>IF(W86&gt;=1,(AA86*12+AC86)-(W86*12+Y86)+1,"")</f>
        <v>10</v>
      </c>
      <c r="AG86" s="1351" t="s">
        <v>33</v>
      </c>
      <c r="AH86" s="1353" t="str">
        <f t="shared" ref="AH86" si="189">IFERROR(ROUNDDOWN(ROUND(L86*U86,0),0)*AF86,"")</f>
        <v/>
      </c>
      <c r="AI86" s="1355" t="str">
        <f t="shared" ref="AI86" si="190">IFERROR(ROUNDDOWN(ROUND((L86*(U86-AW86)),0),0)*AF86,"")</f>
        <v/>
      </c>
      <c r="AJ86" s="1357">
        <f>IFERROR(IF(OR(M86="",M87="",M89=""),0,ROUNDDOWN(ROUNDDOWN(ROUND(L86*VLOOKUP(K86,【参考】数式用!$A$5:$AB$37,MATCH("新加算Ⅳ",【参考】数式用!$B$4:$AB$4,0)+1,0),0),0)*AF86*0.5,0)),"")</f>
        <v>0</v>
      </c>
      <c r="AK86" s="1341"/>
      <c r="AL86" s="1345">
        <f>IFERROR(IF(OR(M89="ベア加算",M89=""),0, IF(OR(T86="新加算Ⅰ",T86="新加算Ⅱ",T86="新加算Ⅲ",T86="新加算Ⅳ"),ROUNDDOWN(ROUND(L86*VLOOKUP(K86,【参考】数式用!$A$5:$I$37,MATCH("ベア加算",【参考】数式用!$B$4:$I$4,0)+1,0),0),0)*AF86,0)),"")</f>
        <v>0</v>
      </c>
      <c r="AM86" s="1331"/>
      <c r="AN86" s="1337"/>
      <c r="AO86" s="1333"/>
      <c r="AP86" s="1333"/>
      <c r="AQ86" s="1335"/>
      <c r="AR86" s="1315"/>
      <c r="AS86" s="465" t="str">
        <f t="shared" ref="AS86" si="191">IF(AU86="","",IF(U86&lt;N86,"！加算の要件上は問題ありませんが、令和６年４・５月と比較して令和６年６月に加算率が下がる計画になっています。",""))</f>
        <v/>
      </c>
      <c r="AT86" s="554"/>
      <c r="AU86" s="1303" t="str">
        <f>IF(K86&lt;&gt;"","V列に色付け","")</f>
        <v/>
      </c>
      <c r="AV86" s="555" t="str">
        <f>IF('別紙様式2-2（４・５月分）'!N68="","",'別紙様式2-2（４・５月分）'!N68)</f>
        <v/>
      </c>
      <c r="AW86" s="1305" t="str">
        <f>IF(SUM('別紙様式2-2（４・５月分）'!O68:O70)=0,"",SUM('別紙様式2-2（４・５月分）'!O68:O70))</f>
        <v/>
      </c>
      <c r="AX86" s="1306" t="str">
        <f>IFERROR(VLOOKUP(K86,【参考】数式用!$AH$2:$AI$34,2,FALSE),"")</f>
        <v/>
      </c>
      <c r="AY86" s="1222" t="s">
        <v>1959</v>
      </c>
      <c r="AZ86" s="1222" t="s">
        <v>1960</v>
      </c>
      <c r="BA86" s="1222" t="s">
        <v>1961</v>
      </c>
      <c r="BB86" s="1222" t="s">
        <v>1962</v>
      </c>
      <c r="BC86" s="1222" t="str">
        <f>IF(AND(O86&lt;&gt;"新加算Ⅰ",O86&lt;&gt;"新加算Ⅱ",O86&lt;&gt;"新加算Ⅲ",O86&lt;&gt;"新加算Ⅳ"),O86,IF(P88&lt;&gt;"",P88,""))</f>
        <v/>
      </c>
      <c r="BD86" s="1222"/>
      <c r="BE86" s="1222" t="str">
        <f t="shared" ref="BE86" si="192">IF(AL86&lt;&gt;0,IF(AM86="○","入力済","未入力"),"")</f>
        <v/>
      </c>
      <c r="BF86" s="1222"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2" t="str">
        <f>IF(OR(T86="新加算Ⅴ（７）",T86="新加算Ⅴ（９）",T86="新加算Ⅴ（10）",T86="新加算Ⅴ（12）",T86="新加算Ⅴ（13）",T86="新加算Ⅴ（14）"),IF(OR(AO86="○",AO86="令和６年度中に満たす"),"入力済","未入力"),"")</f>
        <v/>
      </c>
      <c r="BH86" s="1323" t="str">
        <f t="shared" ref="BH86" si="193">IF(OR(T86="新加算Ⅰ",T86="新加算Ⅱ",T86="新加算Ⅲ",T86="新加算Ⅴ（１）",T86="新加算Ⅴ（３）",T86="新加算Ⅴ（８）"),IF(OR(AP86="○",AP86="令和６年度中に満たす"),"入力済","未入力"),"")</f>
        <v/>
      </c>
      <c r="BI86" s="1325" t="str">
        <f t="shared" ref="BI86" si="194">IF(OR(T86="新加算Ⅰ",T86="新加算Ⅱ",T86="新加算Ⅴ（１）",T86="新加算Ⅴ（２）",T86="新加算Ⅴ（３）",T86="新加算Ⅴ（４）",T86="新加算Ⅴ（５）",T86="新加算Ⅴ（６）",T86="新加算Ⅴ（７）",T86="新加算Ⅴ（９）",T86="新加算Ⅴ（10）",T86="新加算Ⅴ（12）"),1,"")</f>
        <v/>
      </c>
      <c r="BJ86" s="1303" t="str">
        <f>IF(OR(T86="新加算Ⅰ",T86="新加算Ⅴ（１）",T86="新加算Ⅴ（２）",T86="新加算Ⅴ（５）",T86="新加算Ⅴ（７）",T86="新加算Ⅴ（10）"),IF(AR86="","未入力","入力済"),"")</f>
        <v/>
      </c>
      <c r="BK86" s="452" t="str">
        <f>G86</f>
        <v/>
      </c>
    </row>
    <row r="87" spans="1:63" ht="15" customHeight="1">
      <c r="A87" s="1267"/>
      <c r="B87" s="1235"/>
      <c r="C87" s="1236"/>
      <c r="D87" s="1236"/>
      <c r="E87" s="1236"/>
      <c r="F87" s="1237"/>
      <c r="G87" s="1252"/>
      <c r="H87" s="1252"/>
      <c r="I87" s="1252"/>
      <c r="J87" s="1415"/>
      <c r="K87" s="1252"/>
      <c r="L87" s="1276"/>
      <c r="M87" s="1371" t="str">
        <f>IF('別紙様式2-2（４・５月分）'!P69="","",'別紙様式2-2（４・５月分）'!P69)</f>
        <v/>
      </c>
      <c r="N87" s="1392"/>
      <c r="O87" s="1398"/>
      <c r="P87" s="1399"/>
      <c r="Q87" s="1400"/>
      <c r="R87" s="1402"/>
      <c r="S87" s="1404"/>
      <c r="T87" s="1406"/>
      <c r="U87" s="1408"/>
      <c r="V87" s="1410"/>
      <c r="W87" s="1348"/>
      <c r="X87" s="1350"/>
      <c r="Y87" s="1348"/>
      <c r="Z87" s="1350"/>
      <c r="AA87" s="1348"/>
      <c r="AB87" s="1350"/>
      <c r="AC87" s="1348"/>
      <c r="AD87" s="1350"/>
      <c r="AE87" s="1350"/>
      <c r="AF87" s="1350"/>
      <c r="AG87" s="1352"/>
      <c r="AH87" s="1354"/>
      <c r="AI87" s="1356"/>
      <c r="AJ87" s="1358"/>
      <c r="AK87" s="1342"/>
      <c r="AL87" s="1346"/>
      <c r="AM87" s="1332"/>
      <c r="AN87" s="1338"/>
      <c r="AO87" s="1334"/>
      <c r="AP87" s="1334"/>
      <c r="AQ87" s="1336"/>
      <c r="AR87" s="1316"/>
      <c r="AS87" s="1302"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4"/>
      <c r="AU87" s="1303"/>
      <c r="AV87" s="1304" t="str">
        <f>IF('別紙様式2-2（４・５月分）'!N69="","",'別紙様式2-2（４・５月分）'!N69)</f>
        <v/>
      </c>
      <c r="AW87" s="1305"/>
      <c r="AX87" s="1306"/>
      <c r="AY87" s="1222"/>
      <c r="AZ87" s="1222"/>
      <c r="BA87" s="1222"/>
      <c r="BB87" s="1222"/>
      <c r="BC87" s="1222"/>
      <c r="BD87" s="1222"/>
      <c r="BE87" s="1222"/>
      <c r="BF87" s="1222"/>
      <c r="BG87" s="1222"/>
      <c r="BH87" s="1324"/>
      <c r="BI87" s="1326"/>
      <c r="BJ87" s="1303"/>
      <c r="BK87" s="452" t="str">
        <f>G86</f>
        <v/>
      </c>
    </row>
    <row r="88" spans="1:63" ht="15" customHeight="1">
      <c r="A88" s="1295"/>
      <c r="B88" s="1235"/>
      <c r="C88" s="1236"/>
      <c r="D88" s="1236"/>
      <c r="E88" s="1236"/>
      <c r="F88" s="1237"/>
      <c r="G88" s="1252"/>
      <c r="H88" s="1252"/>
      <c r="I88" s="1252"/>
      <c r="J88" s="1415"/>
      <c r="K88" s="1252"/>
      <c r="L88" s="1276"/>
      <c r="M88" s="1372"/>
      <c r="N88" s="1393"/>
      <c r="O88" s="1373" t="s">
        <v>2025</v>
      </c>
      <c r="P88" s="1375" t="str">
        <f>IFERROR(VLOOKUP('別紙様式2-2（４・５月分）'!AQ68,【参考】数式用!$AR$5:$AT$22,3,FALSE),"")</f>
        <v/>
      </c>
      <c r="Q88" s="1377" t="s">
        <v>2036</v>
      </c>
      <c r="R88" s="1379" t="str">
        <f>IFERROR(VLOOKUP(K86,【参考】数式用!$A$5:$AB$37,MATCH(P88,【参考】数式用!$B$4:$AB$4,0)+1,0),"")</f>
        <v/>
      </c>
      <c r="S88" s="1381" t="s">
        <v>161</v>
      </c>
      <c r="T88" s="1383"/>
      <c r="U88" s="1385" t="str">
        <f>IFERROR(VLOOKUP(K86,【参考】数式用!$A$5:$AB$37,MATCH(T88,【参考】数式用!$B$4:$AB$4,0)+1,0),"")</f>
        <v/>
      </c>
      <c r="V88" s="1387" t="s">
        <v>15</v>
      </c>
      <c r="W88" s="1389">
        <v>7</v>
      </c>
      <c r="X88" s="1363" t="s">
        <v>10</v>
      </c>
      <c r="Y88" s="1389">
        <v>4</v>
      </c>
      <c r="Z88" s="1363" t="s">
        <v>38</v>
      </c>
      <c r="AA88" s="1389">
        <v>8</v>
      </c>
      <c r="AB88" s="1363" t="s">
        <v>10</v>
      </c>
      <c r="AC88" s="1389">
        <v>3</v>
      </c>
      <c r="AD88" s="1363" t="s">
        <v>13</v>
      </c>
      <c r="AE88" s="1363" t="s">
        <v>20</v>
      </c>
      <c r="AF88" s="1363">
        <f>IF(W88&gt;=1,(AA88*12+AC88)-(W88*12+Y88)+1,"")</f>
        <v>12</v>
      </c>
      <c r="AG88" s="1359" t="s">
        <v>33</v>
      </c>
      <c r="AH88" s="1365" t="str">
        <f t="shared" ref="AH88" si="196">IFERROR(ROUNDDOWN(ROUND(L86*U88,0),0)*AF88,"")</f>
        <v/>
      </c>
      <c r="AI88" s="1367" t="str">
        <f t="shared" ref="AI88" si="197">IFERROR(ROUNDDOWN(ROUND((L86*(U88-AW86)),0),0)*AF88,"")</f>
        <v/>
      </c>
      <c r="AJ88" s="1369">
        <f>IFERROR(IF(OR(M86="",M87="",M89=""),0,ROUNDDOWN(ROUNDDOWN(ROUND(L86*VLOOKUP(K86,【参考】数式用!$A$5:$AB$37,MATCH("新加算Ⅳ",【参考】数式用!$B$4:$AB$4,0)+1,0),0),0)*AF88*0.5,0)),"")</f>
        <v>0</v>
      </c>
      <c r="AK88" s="1339" t="str">
        <f t="shared" ref="AK88" si="198">IF(T88&lt;&gt;"","新規に適用","")</f>
        <v/>
      </c>
      <c r="AL88" s="1343">
        <f>IFERROR(IF(OR(M89="ベア加算",M89=""),0, IF(OR(T86="新加算Ⅰ",T86="新加算Ⅱ",T86="新加算Ⅲ",T86="新加算Ⅳ"),0,ROUNDDOWN(ROUND(L86*VLOOKUP(K86,【参考】数式用!$A$5:$I$37,MATCH("ベア加算",【参考】数式用!$B$4:$I$4,0)+1,0),0),0)*AF88)),"")</f>
        <v>0</v>
      </c>
      <c r="AM88" s="1313" t="str">
        <f>IF(AND(T88&lt;&gt;"",AM86=""),"新規に適用",IF(AND(T88&lt;&gt;"",AM86&lt;&gt;""),"継続で適用",""))</f>
        <v/>
      </c>
      <c r="AN88" s="1313" t="str">
        <f>IF(AND(T88&lt;&gt;"",AN86=""),"新規に適用",IF(AND(T88&lt;&gt;"",AN86&lt;&gt;""),"継続で適用",""))</f>
        <v/>
      </c>
      <c r="AO88" s="1361"/>
      <c r="AP88" s="1313" t="str">
        <f>IF(AND(T88&lt;&gt;"",AP86=""),"新規に適用",IF(AND(T88&lt;&gt;"",AP86&lt;&gt;""),"継続で適用",""))</f>
        <v/>
      </c>
      <c r="AQ88" s="1317" t="str">
        <f t="shared" si="66"/>
        <v/>
      </c>
      <c r="AR88" s="1313" t="str">
        <f>IF(AND(T88&lt;&gt;"",AR86=""),"新規に適用",IF(AND(T88&lt;&gt;"",AR86&lt;&gt;""),"継続で適用",""))</f>
        <v/>
      </c>
      <c r="AS88" s="1302"/>
      <c r="AT88" s="554"/>
      <c r="AU88" s="1303" t="str">
        <f>IF(K86&lt;&gt;"","V列に色付け","")</f>
        <v/>
      </c>
      <c r="AV88" s="1304"/>
      <c r="AW88" s="1305"/>
      <c r="AX88"/>
      <c r="AY88"/>
      <c r="AZ88"/>
      <c r="BA88"/>
      <c r="BB88"/>
      <c r="BC88"/>
      <c r="BD88"/>
      <c r="BE88"/>
      <c r="BF88"/>
      <c r="BG88"/>
      <c r="BH88"/>
      <c r="BI88"/>
      <c r="BJ88"/>
      <c r="BK88" s="452" t="str">
        <f>G86</f>
        <v/>
      </c>
    </row>
    <row r="89" spans="1:63" ht="30" customHeight="1" thickBot="1">
      <c r="A89" s="1268"/>
      <c r="B89" s="1411"/>
      <c r="C89" s="1412"/>
      <c r="D89" s="1412"/>
      <c r="E89" s="1412"/>
      <c r="F89" s="1413"/>
      <c r="G89" s="1253"/>
      <c r="H89" s="1253"/>
      <c r="I89" s="1253"/>
      <c r="J89" s="1416"/>
      <c r="K89" s="1253"/>
      <c r="L89" s="1277"/>
      <c r="M89" s="553" t="str">
        <f>IF('別紙様式2-2（４・５月分）'!P70="","",'別紙様式2-2（４・５月分）'!P70)</f>
        <v/>
      </c>
      <c r="N89" s="1394"/>
      <c r="O89" s="1374"/>
      <c r="P89" s="1376"/>
      <c r="Q89" s="1378"/>
      <c r="R89" s="1380"/>
      <c r="S89" s="1382"/>
      <c r="T89" s="1384"/>
      <c r="U89" s="1386"/>
      <c r="V89" s="1388"/>
      <c r="W89" s="1390"/>
      <c r="X89" s="1364"/>
      <c r="Y89" s="1390"/>
      <c r="Z89" s="1364"/>
      <c r="AA89" s="1390"/>
      <c r="AB89" s="1364"/>
      <c r="AC89" s="1390"/>
      <c r="AD89" s="1364"/>
      <c r="AE89" s="1364"/>
      <c r="AF89" s="1364"/>
      <c r="AG89" s="1360"/>
      <c r="AH89" s="1366"/>
      <c r="AI89" s="1368"/>
      <c r="AJ89" s="1370"/>
      <c r="AK89" s="1340"/>
      <c r="AL89" s="1344"/>
      <c r="AM89" s="1314"/>
      <c r="AN89" s="1314"/>
      <c r="AO89" s="1362"/>
      <c r="AP89" s="1314"/>
      <c r="AQ89" s="1318"/>
      <c r="AR89" s="1314"/>
      <c r="AS89" s="490"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4"/>
      <c r="AU89" s="1303"/>
      <c r="AV89" s="555" t="str">
        <f>IF('別紙様式2-2（４・５月分）'!N70="","",'別紙様式2-2（４・５月分）'!N70)</f>
        <v/>
      </c>
      <c r="AW89" s="1305"/>
      <c r="AX89"/>
      <c r="AY89"/>
      <c r="AZ89"/>
      <c r="BA89"/>
      <c r="BB89"/>
      <c r="BC89"/>
      <c r="BD89"/>
      <c r="BE89"/>
      <c r="BF89"/>
      <c r="BG89"/>
      <c r="BH89"/>
      <c r="BI89"/>
      <c r="BJ89"/>
      <c r="BK89" s="452" t="str">
        <f>G86</f>
        <v/>
      </c>
    </row>
    <row r="90" spans="1:63" ht="30" customHeight="1">
      <c r="A90" s="1293">
        <v>20</v>
      </c>
      <c r="B90" s="1235" t="str">
        <f>IF(基本情報入力シート!C73="","",基本情報入力シート!C73)</f>
        <v/>
      </c>
      <c r="C90" s="1236"/>
      <c r="D90" s="1236"/>
      <c r="E90" s="1236"/>
      <c r="F90" s="1237"/>
      <c r="G90" s="1252" t="str">
        <f>IF(基本情報入力シート!M73="","",基本情報入力シート!M73)</f>
        <v/>
      </c>
      <c r="H90" s="1252" t="str">
        <f>IF(基本情報入力シート!R73="","",基本情報入力シート!R73)</f>
        <v/>
      </c>
      <c r="I90" s="1252" t="str">
        <f>IF(基本情報入力シート!W73="","",基本情報入力シート!W73)</f>
        <v/>
      </c>
      <c r="J90" s="1415" t="str">
        <f>IF(基本情報入力シート!X73="","",基本情報入力シート!X73)</f>
        <v/>
      </c>
      <c r="K90" s="1252" t="str">
        <f>IF(基本情報入力シート!Y73="","",基本情報入力シート!Y73)</f>
        <v/>
      </c>
      <c r="L90" s="1276" t="str">
        <f>IF(基本情報入力シート!AB73="","",基本情報入力シート!AB73)</f>
        <v/>
      </c>
      <c r="M90" s="550" t="str">
        <f>IF('別紙様式2-2（４・５月分）'!P71="","",'別紙様式2-2（４・５月分）'!P71)</f>
        <v/>
      </c>
      <c r="N90" s="1391" t="str">
        <f>IF(SUM('別紙様式2-2（４・５月分）'!Q71:Q73)=0,"",SUM('別紙様式2-2（４・５月分）'!Q71:Q73))</f>
        <v/>
      </c>
      <c r="O90" s="1395" t="str">
        <f>IFERROR(VLOOKUP('別紙様式2-2（４・５月分）'!AQ71,【参考】数式用!$AR$5:$AS$22,2,FALSE),"")</f>
        <v/>
      </c>
      <c r="P90" s="1396"/>
      <c r="Q90" s="1397"/>
      <c r="R90" s="1401" t="str">
        <f>IFERROR(VLOOKUP(K90,【参考】数式用!$A$5:$AB$37,MATCH(O90,【参考】数式用!$B$4:$AB$4,0)+1,0),"")</f>
        <v/>
      </c>
      <c r="S90" s="1403" t="s">
        <v>2021</v>
      </c>
      <c r="T90" s="1405"/>
      <c r="U90" s="1407" t="str">
        <f>IFERROR(VLOOKUP(K90,【参考】数式用!$A$5:$AB$37,MATCH(T90,【参考】数式用!$B$4:$AB$4,0)+1,0),"")</f>
        <v/>
      </c>
      <c r="V90" s="1409" t="s">
        <v>15</v>
      </c>
      <c r="W90" s="1347">
        <v>6</v>
      </c>
      <c r="X90" s="1349" t="s">
        <v>10</v>
      </c>
      <c r="Y90" s="1347">
        <v>6</v>
      </c>
      <c r="Z90" s="1349" t="s">
        <v>38</v>
      </c>
      <c r="AA90" s="1347">
        <v>7</v>
      </c>
      <c r="AB90" s="1349" t="s">
        <v>10</v>
      </c>
      <c r="AC90" s="1347">
        <v>3</v>
      </c>
      <c r="AD90" s="1349" t="s">
        <v>13</v>
      </c>
      <c r="AE90" s="1349" t="s">
        <v>20</v>
      </c>
      <c r="AF90" s="1349">
        <f>IF(W90&gt;=1,(AA90*12+AC90)-(W90*12+Y90)+1,"")</f>
        <v>10</v>
      </c>
      <c r="AG90" s="1351" t="s">
        <v>33</v>
      </c>
      <c r="AH90" s="1353" t="str">
        <f t="shared" ref="AH90" si="200">IFERROR(ROUNDDOWN(ROUND(L90*U90,0),0)*AF90,"")</f>
        <v/>
      </c>
      <c r="AI90" s="1355" t="str">
        <f t="shared" ref="AI90" si="201">IFERROR(ROUNDDOWN(ROUND((L90*(U90-AW90)),0),0)*AF90,"")</f>
        <v/>
      </c>
      <c r="AJ90" s="1357">
        <f>IFERROR(IF(OR(M90="",M91="",M93=""),0,ROUNDDOWN(ROUNDDOWN(ROUND(L90*VLOOKUP(K90,【参考】数式用!$A$5:$AB$37,MATCH("新加算Ⅳ",【参考】数式用!$B$4:$AB$4,0)+1,0),0),0)*AF90*0.5,0)),"")</f>
        <v>0</v>
      </c>
      <c r="AK90" s="1341"/>
      <c r="AL90" s="1345">
        <f>IFERROR(IF(OR(M93="ベア加算",M93=""),0, IF(OR(T90="新加算Ⅰ",T90="新加算Ⅱ",T90="新加算Ⅲ",T90="新加算Ⅳ"),ROUNDDOWN(ROUND(L90*VLOOKUP(K90,【参考】数式用!$A$5:$I$37,MATCH("ベア加算",【参考】数式用!$B$4:$I$4,0)+1,0),0),0)*AF90,0)),"")</f>
        <v>0</v>
      </c>
      <c r="AM90" s="1331"/>
      <c r="AN90" s="1337"/>
      <c r="AO90" s="1333"/>
      <c r="AP90" s="1333"/>
      <c r="AQ90" s="1335"/>
      <c r="AR90" s="1315"/>
      <c r="AS90" s="465" t="str">
        <f t="shared" ref="AS90" si="202">IF(AU90="","",IF(U90&lt;N90,"！加算の要件上は問題ありませんが、令和６年４・５月と比較して令和６年６月に加算率が下がる計画になっています。",""))</f>
        <v/>
      </c>
      <c r="AT90" s="554"/>
      <c r="AU90" s="1303" t="str">
        <f>IF(K90&lt;&gt;"","V列に色付け","")</f>
        <v/>
      </c>
      <c r="AV90" s="555" t="str">
        <f>IF('別紙様式2-2（４・５月分）'!N71="","",'別紙様式2-2（４・５月分）'!N71)</f>
        <v/>
      </c>
      <c r="AW90" s="1305" t="str">
        <f>IF(SUM('別紙様式2-2（４・５月分）'!O71:O73)=0,"",SUM('別紙様式2-2（４・５月分）'!O71:O73))</f>
        <v/>
      </c>
      <c r="AX90" s="1306" t="str">
        <f>IFERROR(VLOOKUP(K90,【参考】数式用!$AH$2:$AI$34,2,FALSE),"")</f>
        <v/>
      </c>
      <c r="AY90" s="1222" t="s">
        <v>1959</v>
      </c>
      <c r="AZ90" s="1222" t="s">
        <v>1960</v>
      </c>
      <c r="BA90" s="1222" t="s">
        <v>1961</v>
      </c>
      <c r="BB90" s="1222" t="s">
        <v>1962</v>
      </c>
      <c r="BC90" s="1222" t="str">
        <f>IF(AND(O90&lt;&gt;"新加算Ⅰ",O90&lt;&gt;"新加算Ⅱ",O90&lt;&gt;"新加算Ⅲ",O90&lt;&gt;"新加算Ⅳ"),O90,IF(P92&lt;&gt;"",P92,""))</f>
        <v/>
      </c>
      <c r="BD90" s="1222"/>
      <c r="BE90" s="1222" t="str">
        <f t="shared" ref="BE90" si="203">IF(AL90&lt;&gt;0,IF(AM90="○","入力済","未入力"),"")</f>
        <v/>
      </c>
      <c r="BF90" s="1222"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2" t="str">
        <f>IF(OR(T90="新加算Ⅴ（７）",T90="新加算Ⅴ（９）",T90="新加算Ⅴ（10）",T90="新加算Ⅴ（12）",T90="新加算Ⅴ（13）",T90="新加算Ⅴ（14）"),IF(OR(AO90="○",AO90="令和６年度中に満たす"),"入力済","未入力"),"")</f>
        <v/>
      </c>
      <c r="BH90" s="1323" t="str">
        <f t="shared" ref="BH90" si="204">IF(OR(T90="新加算Ⅰ",T90="新加算Ⅱ",T90="新加算Ⅲ",T90="新加算Ⅴ（１）",T90="新加算Ⅴ（３）",T90="新加算Ⅴ（８）"),IF(OR(AP90="○",AP90="令和６年度中に満たす"),"入力済","未入力"),"")</f>
        <v/>
      </c>
      <c r="BI90" s="1325" t="str">
        <f t="shared" ref="BI90" si="205">IF(OR(T90="新加算Ⅰ",T90="新加算Ⅱ",T90="新加算Ⅴ（１）",T90="新加算Ⅴ（２）",T90="新加算Ⅴ（３）",T90="新加算Ⅴ（４）",T90="新加算Ⅴ（５）",T90="新加算Ⅴ（６）",T90="新加算Ⅴ（７）",T90="新加算Ⅴ（９）",T90="新加算Ⅴ（10）",T90="新加算Ⅴ（12）"),1,"")</f>
        <v/>
      </c>
      <c r="BJ90" s="1303" t="str">
        <f>IF(OR(T90="新加算Ⅰ",T90="新加算Ⅴ（１）",T90="新加算Ⅴ（２）",T90="新加算Ⅴ（５）",T90="新加算Ⅴ（７）",T90="新加算Ⅴ（10）"),IF(AR90="","未入力","入力済"),"")</f>
        <v/>
      </c>
      <c r="BK90" s="452" t="str">
        <f>G90</f>
        <v/>
      </c>
    </row>
    <row r="91" spans="1:63" ht="15" customHeight="1">
      <c r="A91" s="1267"/>
      <c r="B91" s="1235"/>
      <c r="C91" s="1236"/>
      <c r="D91" s="1236"/>
      <c r="E91" s="1236"/>
      <c r="F91" s="1237"/>
      <c r="G91" s="1252"/>
      <c r="H91" s="1252"/>
      <c r="I91" s="1252"/>
      <c r="J91" s="1415"/>
      <c r="K91" s="1252"/>
      <c r="L91" s="1276"/>
      <c r="M91" s="1371" t="str">
        <f>IF('別紙様式2-2（４・５月分）'!P72="","",'別紙様式2-2（４・５月分）'!P72)</f>
        <v/>
      </c>
      <c r="N91" s="1392"/>
      <c r="O91" s="1398"/>
      <c r="P91" s="1399"/>
      <c r="Q91" s="1400"/>
      <c r="R91" s="1402"/>
      <c r="S91" s="1404"/>
      <c r="T91" s="1406"/>
      <c r="U91" s="1408"/>
      <c r="V91" s="1410"/>
      <c r="W91" s="1348"/>
      <c r="X91" s="1350"/>
      <c r="Y91" s="1348"/>
      <c r="Z91" s="1350"/>
      <c r="AA91" s="1348"/>
      <c r="AB91" s="1350"/>
      <c r="AC91" s="1348"/>
      <c r="AD91" s="1350"/>
      <c r="AE91" s="1350"/>
      <c r="AF91" s="1350"/>
      <c r="AG91" s="1352"/>
      <c r="AH91" s="1354"/>
      <c r="AI91" s="1356"/>
      <c r="AJ91" s="1358"/>
      <c r="AK91" s="1342"/>
      <c r="AL91" s="1346"/>
      <c r="AM91" s="1332"/>
      <c r="AN91" s="1338"/>
      <c r="AO91" s="1334"/>
      <c r="AP91" s="1334"/>
      <c r="AQ91" s="1336"/>
      <c r="AR91" s="1316"/>
      <c r="AS91" s="1302"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4"/>
      <c r="AU91" s="1303"/>
      <c r="AV91" s="1304" t="str">
        <f>IF('別紙様式2-2（４・５月分）'!N72="","",'別紙様式2-2（４・５月分）'!N72)</f>
        <v/>
      </c>
      <c r="AW91" s="1305"/>
      <c r="AX91" s="1306"/>
      <c r="AY91" s="1222"/>
      <c r="AZ91" s="1222"/>
      <c r="BA91" s="1222"/>
      <c r="BB91" s="1222"/>
      <c r="BC91" s="1222"/>
      <c r="BD91" s="1222"/>
      <c r="BE91" s="1222"/>
      <c r="BF91" s="1222"/>
      <c r="BG91" s="1222"/>
      <c r="BH91" s="1324"/>
      <c r="BI91" s="1326"/>
      <c r="BJ91" s="1303"/>
      <c r="BK91" s="452" t="str">
        <f>G90</f>
        <v/>
      </c>
    </row>
    <row r="92" spans="1:63" ht="15" customHeight="1">
      <c r="A92" s="1295"/>
      <c r="B92" s="1235"/>
      <c r="C92" s="1236"/>
      <c r="D92" s="1236"/>
      <c r="E92" s="1236"/>
      <c r="F92" s="1237"/>
      <c r="G92" s="1252"/>
      <c r="H92" s="1252"/>
      <c r="I92" s="1252"/>
      <c r="J92" s="1415"/>
      <c r="K92" s="1252"/>
      <c r="L92" s="1276"/>
      <c r="M92" s="1372"/>
      <c r="N92" s="1393"/>
      <c r="O92" s="1373" t="s">
        <v>2025</v>
      </c>
      <c r="P92" s="1375" t="str">
        <f>IFERROR(VLOOKUP('別紙様式2-2（４・５月分）'!AQ71,【参考】数式用!$AR$5:$AT$22,3,FALSE),"")</f>
        <v/>
      </c>
      <c r="Q92" s="1377" t="s">
        <v>2036</v>
      </c>
      <c r="R92" s="1379" t="str">
        <f>IFERROR(VLOOKUP(K90,【参考】数式用!$A$5:$AB$37,MATCH(P92,【参考】数式用!$B$4:$AB$4,0)+1,0),"")</f>
        <v/>
      </c>
      <c r="S92" s="1381" t="s">
        <v>161</v>
      </c>
      <c r="T92" s="1383"/>
      <c r="U92" s="1385" t="str">
        <f>IFERROR(VLOOKUP(K90,【参考】数式用!$A$5:$AB$37,MATCH(T92,【参考】数式用!$B$4:$AB$4,0)+1,0),"")</f>
        <v/>
      </c>
      <c r="V92" s="1387" t="s">
        <v>15</v>
      </c>
      <c r="W92" s="1389">
        <v>7</v>
      </c>
      <c r="X92" s="1363" t="s">
        <v>10</v>
      </c>
      <c r="Y92" s="1389">
        <v>4</v>
      </c>
      <c r="Z92" s="1363" t="s">
        <v>38</v>
      </c>
      <c r="AA92" s="1389">
        <v>8</v>
      </c>
      <c r="AB92" s="1363" t="s">
        <v>10</v>
      </c>
      <c r="AC92" s="1389">
        <v>3</v>
      </c>
      <c r="AD92" s="1363" t="s">
        <v>13</v>
      </c>
      <c r="AE92" s="1363" t="s">
        <v>20</v>
      </c>
      <c r="AF92" s="1363">
        <f>IF(W92&gt;=1,(AA92*12+AC92)-(W92*12+Y92)+1,"")</f>
        <v>12</v>
      </c>
      <c r="AG92" s="1359" t="s">
        <v>33</v>
      </c>
      <c r="AH92" s="1365" t="str">
        <f t="shared" ref="AH92" si="207">IFERROR(ROUNDDOWN(ROUND(L90*U92,0),0)*AF92,"")</f>
        <v/>
      </c>
      <c r="AI92" s="1367" t="str">
        <f t="shared" ref="AI92" si="208">IFERROR(ROUNDDOWN(ROUND((L90*(U92-AW90)),0),0)*AF92,"")</f>
        <v/>
      </c>
      <c r="AJ92" s="1369">
        <f>IFERROR(IF(OR(M90="",M91="",M93=""),0,ROUNDDOWN(ROUNDDOWN(ROUND(L90*VLOOKUP(K90,【参考】数式用!$A$5:$AB$37,MATCH("新加算Ⅳ",【参考】数式用!$B$4:$AB$4,0)+1,0),0),0)*AF92*0.5,0)),"")</f>
        <v>0</v>
      </c>
      <c r="AK92" s="1339" t="str">
        <f t="shared" ref="AK92" si="209">IF(T92&lt;&gt;"","新規に適用","")</f>
        <v/>
      </c>
      <c r="AL92" s="1343">
        <f>IFERROR(IF(OR(M93="ベア加算",M93=""),0, IF(OR(T90="新加算Ⅰ",T90="新加算Ⅱ",T90="新加算Ⅲ",T90="新加算Ⅳ"),0,ROUNDDOWN(ROUND(L90*VLOOKUP(K90,【参考】数式用!$A$5:$I$37,MATCH("ベア加算",【参考】数式用!$B$4:$I$4,0)+1,0),0),0)*AF92)),"")</f>
        <v>0</v>
      </c>
      <c r="AM92" s="1313" t="str">
        <f>IF(AND(T92&lt;&gt;"",AM90=""),"新規に適用",IF(AND(T92&lt;&gt;"",AM90&lt;&gt;""),"継続で適用",""))</f>
        <v/>
      </c>
      <c r="AN92" s="1313" t="str">
        <f>IF(AND(T92&lt;&gt;"",AN90=""),"新規に適用",IF(AND(T92&lt;&gt;"",AN90&lt;&gt;""),"継続で適用",""))</f>
        <v/>
      </c>
      <c r="AO92" s="1361"/>
      <c r="AP92" s="1313" t="str">
        <f>IF(AND(T92&lt;&gt;"",AP90=""),"新規に適用",IF(AND(T92&lt;&gt;"",AP90&lt;&gt;""),"継続で適用",""))</f>
        <v/>
      </c>
      <c r="AQ92" s="1317" t="str">
        <f t="shared" si="66"/>
        <v/>
      </c>
      <c r="AR92" s="1313" t="str">
        <f>IF(AND(T92&lt;&gt;"",AR90=""),"新規に適用",IF(AND(T92&lt;&gt;"",AR90&lt;&gt;""),"継続で適用",""))</f>
        <v/>
      </c>
      <c r="AS92" s="1302"/>
      <c r="AT92" s="554"/>
      <c r="AU92" s="1303" t="str">
        <f>IF(K90&lt;&gt;"","V列に色付け","")</f>
        <v/>
      </c>
      <c r="AV92" s="1304"/>
      <c r="AW92" s="1305"/>
      <c r="AX92"/>
      <c r="AY92"/>
      <c r="AZ92"/>
      <c r="BA92"/>
      <c r="BB92"/>
      <c r="BC92"/>
      <c r="BD92"/>
      <c r="BE92"/>
      <c r="BF92"/>
      <c r="BG92"/>
      <c r="BH92"/>
      <c r="BI92"/>
      <c r="BJ92"/>
      <c r="BK92" s="452" t="str">
        <f>G90</f>
        <v/>
      </c>
    </row>
    <row r="93" spans="1:63" ht="30" customHeight="1" thickBot="1">
      <c r="A93" s="1268"/>
      <c r="B93" s="1411"/>
      <c r="C93" s="1412"/>
      <c r="D93" s="1412"/>
      <c r="E93" s="1412"/>
      <c r="F93" s="1413"/>
      <c r="G93" s="1253"/>
      <c r="H93" s="1253"/>
      <c r="I93" s="1253"/>
      <c r="J93" s="1416"/>
      <c r="K93" s="1253"/>
      <c r="L93" s="1277"/>
      <c r="M93" s="553" t="str">
        <f>IF('別紙様式2-2（４・５月分）'!P73="","",'別紙様式2-2（４・５月分）'!P73)</f>
        <v/>
      </c>
      <c r="N93" s="1394"/>
      <c r="O93" s="1374"/>
      <c r="P93" s="1376"/>
      <c r="Q93" s="1378"/>
      <c r="R93" s="1380"/>
      <c r="S93" s="1382"/>
      <c r="T93" s="1384"/>
      <c r="U93" s="1386"/>
      <c r="V93" s="1388"/>
      <c r="W93" s="1390"/>
      <c r="X93" s="1364"/>
      <c r="Y93" s="1390"/>
      <c r="Z93" s="1364"/>
      <c r="AA93" s="1390"/>
      <c r="AB93" s="1364"/>
      <c r="AC93" s="1390"/>
      <c r="AD93" s="1364"/>
      <c r="AE93" s="1364"/>
      <c r="AF93" s="1364"/>
      <c r="AG93" s="1360"/>
      <c r="AH93" s="1366"/>
      <c r="AI93" s="1368"/>
      <c r="AJ93" s="1370"/>
      <c r="AK93" s="1340"/>
      <c r="AL93" s="1344"/>
      <c r="AM93" s="1314"/>
      <c r="AN93" s="1314"/>
      <c r="AO93" s="1362"/>
      <c r="AP93" s="1314"/>
      <c r="AQ93" s="1318"/>
      <c r="AR93" s="1314"/>
      <c r="AS93" s="490"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4"/>
      <c r="AU93" s="1303"/>
      <c r="AV93" s="555" t="str">
        <f>IF('別紙様式2-2（４・５月分）'!N73="","",'別紙様式2-2（４・５月分）'!N73)</f>
        <v/>
      </c>
      <c r="AW93" s="1305"/>
      <c r="AX93"/>
      <c r="AY93"/>
      <c r="AZ93"/>
      <c r="BA93"/>
      <c r="BB93"/>
      <c r="BC93"/>
      <c r="BD93"/>
      <c r="BE93"/>
      <c r="BF93"/>
      <c r="BG93"/>
      <c r="BH93"/>
      <c r="BI93"/>
      <c r="BJ93"/>
      <c r="BK93" s="452" t="str">
        <f>G90</f>
        <v/>
      </c>
    </row>
    <row r="94" spans="1:63" ht="30" customHeight="1">
      <c r="A94" s="1266">
        <v>21</v>
      </c>
      <c r="B94" s="1232" t="str">
        <f>IF(基本情報入力シート!C74="","",基本情報入力シート!C74)</f>
        <v/>
      </c>
      <c r="C94" s="1233"/>
      <c r="D94" s="1233"/>
      <c r="E94" s="1233"/>
      <c r="F94" s="1234"/>
      <c r="G94" s="1251" t="str">
        <f>IF(基本情報入力シート!M74="","",基本情報入力シート!M74)</f>
        <v/>
      </c>
      <c r="H94" s="1251" t="str">
        <f>IF(基本情報入力シート!R74="","",基本情報入力シート!R74)</f>
        <v/>
      </c>
      <c r="I94" s="1251" t="str">
        <f>IF(基本情報入力シート!W74="","",基本情報入力シート!W74)</f>
        <v/>
      </c>
      <c r="J94" s="1414" t="str">
        <f>IF(基本情報入力シート!X74="","",基本情報入力シート!X74)</f>
        <v/>
      </c>
      <c r="K94" s="1251" t="str">
        <f>IF(基本情報入力シート!Y74="","",基本情報入力シート!Y74)</f>
        <v/>
      </c>
      <c r="L94" s="1275" t="str">
        <f>IF(基本情報入力シート!AB74="","",基本情報入力シート!AB74)</f>
        <v/>
      </c>
      <c r="M94" s="550" t="str">
        <f>IF('別紙様式2-2（４・５月分）'!P74="","",'別紙様式2-2（４・５月分）'!P74)</f>
        <v/>
      </c>
      <c r="N94" s="1391" t="str">
        <f>IF(SUM('別紙様式2-2（４・５月分）'!Q74:Q76)=0,"",SUM('別紙様式2-2（４・５月分）'!Q74:Q76))</f>
        <v/>
      </c>
      <c r="O94" s="1395" t="str">
        <f>IFERROR(VLOOKUP('別紙様式2-2（４・５月分）'!AQ74,【参考】数式用!$AR$5:$AS$22,2,FALSE),"")</f>
        <v/>
      </c>
      <c r="P94" s="1396"/>
      <c r="Q94" s="1397"/>
      <c r="R94" s="1401" t="str">
        <f>IFERROR(VLOOKUP(K94,【参考】数式用!$A$5:$AB$37,MATCH(O94,【参考】数式用!$B$4:$AB$4,0)+1,0),"")</f>
        <v/>
      </c>
      <c r="S94" s="1403" t="s">
        <v>2021</v>
      </c>
      <c r="T94" s="1405"/>
      <c r="U94" s="1407" t="str">
        <f>IFERROR(VLOOKUP(K94,【参考】数式用!$A$5:$AB$37,MATCH(T94,【参考】数式用!$B$4:$AB$4,0)+1,0),"")</f>
        <v/>
      </c>
      <c r="V94" s="1409" t="s">
        <v>15</v>
      </c>
      <c r="W94" s="1347">
        <v>6</v>
      </c>
      <c r="X94" s="1349" t="s">
        <v>10</v>
      </c>
      <c r="Y94" s="1347">
        <v>6</v>
      </c>
      <c r="Z94" s="1349" t="s">
        <v>38</v>
      </c>
      <c r="AA94" s="1347">
        <v>7</v>
      </c>
      <c r="AB94" s="1349" t="s">
        <v>10</v>
      </c>
      <c r="AC94" s="1347">
        <v>3</v>
      </c>
      <c r="AD94" s="1349" t="s">
        <v>13</v>
      </c>
      <c r="AE94" s="1349" t="s">
        <v>20</v>
      </c>
      <c r="AF94" s="1349">
        <f>IF(W94&gt;=1,(AA94*12+AC94)-(W94*12+Y94)+1,"")</f>
        <v>10</v>
      </c>
      <c r="AG94" s="1351" t="s">
        <v>33</v>
      </c>
      <c r="AH94" s="1353" t="str">
        <f t="shared" ref="AH94" si="211">IFERROR(ROUNDDOWN(ROUND(L94*U94,0),0)*AF94,"")</f>
        <v/>
      </c>
      <c r="AI94" s="1355" t="str">
        <f t="shared" ref="AI94" si="212">IFERROR(ROUNDDOWN(ROUND((L94*(U94-AW94)),0),0)*AF94,"")</f>
        <v/>
      </c>
      <c r="AJ94" s="1357">
        <f>IFERROR(IF(OR(M94="",M95="",M97=""),0,ROUNDDOWN(ROUNDDOWN(ROUND(L94*VLOOKUP(K94,【参考】数式用!$A$5:$AB$37,MATCH("新加算Ⅳ",【参考】数式用!$B$4:$AB$4,0)+1,0),0),0)*AF94*0.5,0)),"")</f>
        <v>0</v>
      </c>
      <c r="AK94" s="1341"/>
      <c r="AL94" s="1345">
        <f>IFERROR(IF(OR(M97="ベア加算",M97=""),0, IF(OR(T94="新加算Ⅰ",T94="新加算Ⅱ",T94="新加算Ⅲ",T94="新加算Ⅳ"),ROUNDDOWN(ROUND(L94*VLOOKUP(K94,【参考】数式用!$A$5:$I$37,MATCH("ベア加算",【参考】数式用!$B$4:$I$4,0)+1,0),0),0)*AF94,0)),"")</f>
        <v>0</v>
      </c>
      <c r="AM94" s="1331"/>
      <c r="AN94" s="1337"/>
      <c r="AO94" s="1333"/>
      <c r="AP94" s="1333"/>
      <c r="AQ94" s="1335"/>
      <c r="AR94" s="1315"/>
      <c r="AS94" s="465" t="str">
        <f t="shared" ref="AS94" si="213">IF(AU94="","",IF(U94&lt;N94,"！加算の要件上は問題ありませんが、令和６年４・５月と比較して令和６年６月に加算率が下がる計画になっています。",""))</f>
        <v/>
      </c>
      <c r="AT94" s="554"/>
      <c r="AU94" s="1303" t="str">
        <f>IF(K94&lt;&gt;"","V列に色付け","")</f>
        <v/>
      </c>
      <c r="AV94" s="555" t="str">
        <f>IF('別紙様式2-2（４・５月分）'!N74="","",'別紙様式2-2（４・５月分）'!N74)</f>
        <v/>
      </c>
      <c r="AW94" s="1305" t="str">
        <f>IF(SUM('別紙様式2-2（４・５月分）'!O74:O76)=0,"",SUM('別紙様式2-2（４・５月分）'!O74:O76))</f>
        <v/>
      </c>
      <c r="AX94" s="1306" t="str">
        <f>IFERROR(VLOOKUP(K94,【参考】数式用!$AH$2:$AI$34,2,FALSE),"")</f>
        <v/>
      </c>
      <c r="AY94" s="1222" t="s">
        <v>1959</v>
      </c>
      <c r="AZ94" s="1222" t="s">
        <v>1960</v>
      </c>
      <c r="BA94" s="1222" t="s">
        <v>1961</v>
      </c>
      <c r="BB94" s="1222" t="s">
        <v>1962</v>
      </c>
      <c r="BC94" s="1222" t="str">
        <f>IF(AND(O94&lt;&gt;"新加算Ⅰ",O94&lt;&gt;"新加算Ⅱ",O94&lt;&gt;"新加算Ⅲ",O94&lt;&gt;"新加算Ⅳ"),O94,IF(P96&lt;&gt;"",P96,""))</f>
        <v/>
      </c>
      <c r="BD94" s="1222"/>
      <c r="BE94" s="1222" t="str">
        <f t="shared" ref="BE94" si="214">IF(AL94&lt;&gt;0,IF(AM94="○","入力済","未入力"),"")</f>
        <v/>
      </c>
      <c r="BF94" s="1222"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2" t="str">
        <f>IF(OR(T94="新加算Ⅴ（７）",T94="新加算Ⅴ（９）",T94="新加算Ⅴ（10）",T94="新加算Ⅴ（12）",T94="新加算Ⅴ（13）",T94="新加算Ⅴ（14）"),IF(OR(AO94="○",AO94="令和６年度中に満たす"),"入力済","未入力"),"")</f>
        <v/>
      </c>
      <c r="BH94" s="1323" t="str">
        <f t="shared" ref="BH94" si="215">IF(OR(T94="新加算Ⅰ",T94="新加算Ⅱ",T94="新加算Ⅲ",T94="新加算Ⅴ（１）",T94="新加算Ⅴ（３）",T94="新加算Ⅴ（８）"),IF(OR(AP94="○",AP94="令和６年度中に満たす"),"入力済","未入力"),"")</f>
        <v/>
      </c>
      <c r="BI94" s="1325" t="str">
        <f t="shared" ref="BI94" si="216">IF(OR(T94="新加算Ⅰ",T94="新加算Ⅱ",T94="新加算Ⅴ（１）",T94="新加算Ⅴ（２）",T94="新加算Ⅴ（３）",T94="新加算Ⅴ（４）",T94="新加算Ⅴ（５）",T94="新加算Ⅴ（６）",T94="新加算Ⅴ（７）",T94="新加算Ⅴ（９）",T94="新加算Ⅴ（10）",T94="新加算Ⅴ（12）"),1,"")</f>
        <v/>
      </c>
      <c r="BJ94" s="1303" t="str">
        <f>IF(OR(T94="新加算Ⅰ",T94="新加算Ⅴ（１）",T94="新加算Ⅴ（２）",T94="新加算Ⅴ（５）",T94="新加算Ⅴ（７）",T94="新加算Ⅴ（10）"),IF(AR94="","未入力","入力済"),"")</f>
        <v/>
      </c>
      <c r="BK94" s="452" t="str">
        <f>G94</f>
        <v/>
      </c>
    </row>
    <row r="95" spans="1:63" ht="15" customHeight="1">
      <c r="A95" s="1267"/>
      <c r="B95" s="1235"/>
      <c r="C95" s="1236"/>
      <c r="D95" s="1236"/>
      <c r="E95" s="1236"/>
      <c r="F95" s="1237"/>
      <c r="G95" s="1252"/>
      <c r="H95" s="1252"/>
      <c r="I95" s="1252"/>
      <c r="J95" s="1415"/>
      <c r="K95" s="1252"/>
      <c r="L95" s="1276"/>
      <c r="M95" s="1371" t="str">
        <f>IF('別紙様式2-2（４・５月分）'!P75="","",'別紙様式2-2（４・５月分）'!P75)</f>
        <v/>
      </c>
      <c r="N95" s="1392"/>
      <c r="O95" s="1398"/>
      <c r="P95" s="1399"/>
      <c r="Q95" s="1400"/>
      <c r="R95" s="1402"/>
      <c r="S95" s="1404"/>
      <c r="T95" s="1406"/>
      <c r="U95" s="1408"/>
      <c r="V95" s="1410"/>
      <c r="W95" s="1348"/>
      <c r="X95" s="1350"/>
      <c r="Y95" s="1348"/>
      <c r="Z95" s="1350"/>
      <c r="AA95" s="1348"/>
      <c r="AB95" s="1350"/>
      <c r="AC95" s="1348"/>
      <c r="AD95" s="1350"/>
      <c r="AE95" s="1350"/>
      <c r="AF95" s="1350"/>
      <c r="AG95" s="1352"/>
      <c r="AH95" s="1354"/>
      <c r="AI95" s="1356"/>
      <c r="AJ95" s="1358"/>
      <c r="AK95" s="1342"/>
      <c r="AL95" s="1346"/>
      <c r="AM95" s="1332"/>
      <c r="AN95" s="1338"/>
      <c r="AO95" s="1334"/>
      <c r="AP95" s="1334"/>
      <c r="AQ95" s="1336"/>
      <c r="AR95" s="1316"/>
      <c r="AS95" s="1302"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4"/>
      <c r="AU95" s="1303"/>
      <c r="AV95" s="1304" t="str">
        <f>IF('別紙様式2-2（４・５月分）'!N75="","",'別紙様式2-2（４・５月分）'!N75)</f>
        <v/>
      </c>
      <c r="AW95" s="1305"/>
      <c r="AX95" s="1306"/>
      <c r="AY95" s="1222"/>
      <c r="AZ95" s="1222"/>
      <c r="BA95" s="1222"/>
      <c r="BB95" s="1222"/>
      <c r="BC95" s="1222"/>
      <c r="BD95" s="1222"/>
      <c r="BE95" s="1222"/>
      <c r="BF95" s="1222"/>
      <c r="BG95" s="1222"/>
      <c r="BH95" s="1324"/>
      <c r="BI95" s="1326"/>
      <c r="BJ95" s="1303"/>
      <c r="BK95" s="452" t="str">
        <f>G94</f>
        <v/>
      </c>
    </row>
    <row r="96" spans="1:63" ht="15" customHeight="1">
      <c r="A96" s="1295"/>
      <c r="B96" s="1235"/>
      <c r="C96" s="1236"/>
      <c r="D96" s="1236"/>
      <c r="E96" s="1236"/>
      <c r="F96" s="1237"/>
      <c r="G96" s="1252"/>
      <c r="H96" s="1252"/>
      <c r="I96" s="1252"/>
      <c r="J96" s="1415"/>
      <c r="K96" s="1252"/>
      <c r="L96" s="1276"/>
      <c r="M96" s="1372"/>
      <c r="N96" s="1393"/>
      <c r="O96" s="1373" t="s">
        <v>2025</v>
      </c>
      <c r="P96" s="1375" t="str">
        <f>IFERROR(VLOOKUP('別紙様式2-2（４・５月分）'!AQ74,【参考】数式用!$AR$5:$AT$22,3,FALSE),"")</f>
        <v/>
      </c>
      <c r="Q96" s="1377" t="s">
        <v>2036</v>
      </c>
      <c r="R96" s="1379" t="str">
        <f>IFERROR(VLOOKUP(K94,【参考】数式用!$A$5:$AB$37,MATCH(P96,【参考】数式用!$B$4:$AB$4,0)+1,0),"")</f>
        <v/>
      </c>
      <c r="S96" s="1381" t="s">
        <v>161</v>
      </c>
      <c r="T96" s="1383"/>
      <c r="U96" s="1385" t="str">
        <f>IFERROR(VLOOKUP(K94,【参考】数式用!$A$5:$AB$37,MATCH(T96,【参考】数式用!$B$4:$AB$4,0)+1,0),"")</f>
        <v/>
      </c>
      <c r="V96" s="1387" t="s">
        <v>15</v>
      </c>
      <c r="W96" s="1389">
        <v>7</v>
      </c>
      <c r="X96" s="1363" t="s">
        <v>10</v>
      </c>
      <c r="Y96" s="1389">
        <v>4</v>
      </c>
      <c r="Z96" s="1363" t="s">
        <v>38</v>
      </c>
      <c r="AA96" s="1389">
        <v>8</v>
      </c>
      <c r="AB96" s="1363" t="s">
        <v>10</v>
      </c>
      <c r="AC96" s="1389">
        <v>3</v>
      </c>
      <c r="AD96" s="1363" t="s">
        <v>13</v>
      </c>
      <c r="AE96" s="1363" t="s">
        <v>20</v>
      </c>
      <c r="AF96" s="1363">
        <f>IF(W96&gt;=1,(AA96*12+AC96)-(W96*12+Y96)+1,"")</f>
        <v>12</v>
      </c>
      <c r="AG96" s="1359" t="s">
        <v>33</v>
      </c>
      <c r="AH96" s="1365" t="str">
        <f t="shared" ref="AH96" si="218">IFERROR(ROUNDDOWN(ROUND(L94*U96,0),0)*AF96,"")</f>
        <v/>
      </c>
      <c r="AI96" s="1367" t="str">
        <f t="shared" ref="AI96" si="219">IFERROR(ROUNDDOWN(ROUND((L94*(U96-AW94)),0),0)*AF96,"")</f>
        <v/>
      </c>
      <c r="AJ96" s="1369">
        <f>IFERROR(IF(OR(M94="",M95="",M97=""),0,ROUNDDOWN(ROUNDDOWN(ROUND(L94*VLOOKUP(K94,【参考】数式用!$A$5:$AB$37,MATCH("新加算Ⅳ",【参考】数式用!$B$4:$AB$4,0)+1,0),0),0)*AF96*0.5,0)),"")</f>
        <v>0</v>
      </c>
      <c r="AK96" s="1339" t="str">
        <f t="shared" ref="AK96" si="220">IF(T96&lt;&gt;"","新規に適用","")</f>
        <v/>
      </c>
      <c r="AL96" s="1343">
        <f>IFERROR(IF(OR(M97="ベア加算",M97=""),0, IF(OR(T94="新加算Ⅰ",T94="新加算Ⅱ",T94="新加算Ⅲ",T94="新加算Ⅳ"),0,ROUNDDOWN(ROUND(L94*VLOOKUP(K94,【参考】数式用!$A$5:$I$37,MATCH("ベア加算",【参考】数式用!$B$4:$I$4,0)+1,0),0),0)*AF96)),"")</f>
        <v>0</v>
      </c>
      <c r="AM96" s="1313" t="str">
        <f>IF(AND(T96&lt;&gt;"",AM94=""),"新規に適用",IF(AND(T96&lt;&gt;"",AM94&lt;&gt;""),"継続で適用",""))</f>
        <v/>
      </c>
      <c r="AN96" s="1313" t="str">
        <f>IF(AND(T96&lt;&gt;"",AN94=""),"新規に適用",IF(AND(T96&lt;&gt;"",AN94&lt;&gt;""),"継続で適用",""))</f>
        <v/>
      </c>
      <c r="AO96" s="1361"/>
      <c r="AP96" s="1313" t="str">
        <f>IF(AND(T96&lt;&gt;"",AP94=""),"新規に適用",IF(AND(T96&lt;&gt;"",AP94&lt;&gt;""),"継続で適用",""))</f>
        <v/>
      </c>
      <c r="AQ96" s="1317" t="str">
        <f t="shared" si="66"/>
        <v/>
      </c>
      <c r="AR96" s="1313" t="str">
        <f>IF(AND(T96&lt;&gt;"",AR94=""),"新規に適用",IF(AND(T96&lt;&gt;"",AR94&lt;&gt;""),"継続で適用",""))</f>
        <v/>
      </c>
      <c r="AS96" s="1302"/>
      <c r="AT96" s="554"/>
      <c r="AU96" s="1303" t="str">
        <f>IF(K94&lt;&gt;"","V列に色付け","")</f>
        <v/>
      </c>
      <c r="AV96" s="1304"/>
      <c r="AW96" s="1305"/>
      <c r="AX96"/>
      <c r="AY96"/>
      <c r="AZ96"/>
      <c r="BA96"/>
      <c r="BB96"/>
      <c r="BC96"/>
      <c r="BD96"/>
      <c r="BE96"/>
      <c r="BF96"/>
      <c r="BG96"/>
      <c r="BH96"/>
      <c r="BI96"/>
      <c r="BJ96"/>
      <c r="BK96" s="452" t="str">
        <f>G94</f>
        <v/>
      </c>
    </row>
    <row r="97" spans="1:63" ht="30" customHeight="1" thickBot="1">
      <c r="A97" s="1268"/>
      <c r="B97" s="1411"/>
      <c r="C97" s="1412"/>
      <c r="D97" s="1412"/>
      <c r="E97" s="1412"/>
      <c r="F97" s="1413"/>
      <c r="G97" s="1253"/>
      <c r="H97" s="1253"/>
      <c r="I97" s="1253"/>
      <c r="J97" s="1416"/>
      <c r="K97" s="1253"/>
      <c r="L97" s="1277"/>
      <c r="M97" s="553" t="str">
        <f>IF('別紙様式2-2（４・５月分）'!P76="","",'別紙様式2-2（４・５月分）'!P76)</f>
        <v/>
      </c>
      <c r="N97" s="1394"/>
      <c r="O97" s="1374"/>
      <c r="P97" s="1376"/>
      <c r="Q97" s="1378"/>
      <c r="R97" s="1380"/>
      <c r="S97" s="1382"/>
      <c r="T97" s="1384"/>
      <c r="U97" s="1386"/>
      <c r="V97" s="1388"/>
      <c r="W97" s="1390"/>
      <c r="X97" s="1364"/>
      <c r="Y97" s="1390"/>
      <c r="Z97" s="1364"/>
      <c r="AA97" s="1390"/>
      <c r="AB97" s="1364"/>
      <c r="AC97" s="1390"/>
      <c r="AD97" s="1364"/>
      <c r="AE97" s="1364"/>
      <c r="AF97" s="1364"/>
      <c r="AG97" s="1360"/>
      <c r="AH97" s="1366"/>
      <c r="AI97" s="1368"/>
      <c r="AJ97" s="1370"/>
      <c r="AK97" s="1340"/>
      <c r="AL97" s="1344"/>
      <c r="AM97" s="1314"/>
      <c r="AN97" s="1314"/>
      <c r="AO97" s="1362"/>
      <c r="AP97" s="1314"/>
      <c r="AQ97" s="1318"/>
      <c r="AR97" s="1314"/>
      <c r="AS97" s="490"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4"/>
      <c r="AU97" s="1303"/>
      <c r="AV97" s="555" t="str">
        <f>IF('別紙様式2-2（４・５月分）'!N76="","",'別紙様式2-2（４・５月分）'!N76)</f>
        <v/>
      </c>
      <c r="AW97" s="1305"/>
      <c r="AX97"/>
      <c r="AY97"/>
      <c r="AZ97"/>
      <c r="BA97"/>
      <c r="BB97"/>
      <c r="BC97"/>
      <c r="BD97"/>
      <c r="BE97"/>
      <c r="BF97"/>
      <c r="BG97"/>
      <c r="BH97"/>
      <c r="BI97"/>
      <c r="BJ97"/>
      <c r="BK97" s="452" t="str">
        <f>G94</f>
        <v/>
      </c>
    </row>
    <row r="98" spans="1:63" ht="30" customHeight="1">
      <c r="A98" s="1293">
        <v>22</v>
      </c>
      <c r="B98" s="1235" t="str">
        <f>IF(基本情報入力シート!C75="","",基本情報入力シート!C75)</f>
        <v/>
      </c>
      <c r="C98" s="1236"/>
      <c r="D98" s="1236"/>
      <c r="E98" s="1236"/>
      <c r="F98" s="1237"/>
      <c r="G98" s="1252" t="str">
        <f>IF(基本情報入力シート!M75="","",基本情報入力シート!M75)</f>
        <v/>
      </c>
      <c r="H98" s="1252" t="str">
        <f>IF(基本情報入力シート!R75="","",基本情報入力シート!R75)</f>
        <v/>
      </c>
      <c r="I98" s="1252" t="str">
        <f>IF(基本情報入力シート!W75="","",基本情報入力シート!W75)</f>
        <v/>
      </c>
      <c r="J98" s="1415" t="str">
        <f>IF(基本情報入力シート!X75="","",基本情報入力シート!X75)</f>
        <v/>
      </c>
      <c r="K98" s="1252" t="str">
        <f>IF(基本情報入力シート!Y75="","",基本情報入力シート!Y75)</f>
        <v/>
      </c>
      <c r="L98" s="1276" t="str">
        <f>IF(基本情報入力シート!AB75="","",基本情報入力シート!AB75)</f>
        <v/>
      </c>
      <c r="M98" s="550" t="str">
        <f>IF('別紙様式2-2（４・５月分）'!P77="","",'別紙様式2-2（４・５月分）'!P77)</f>
        <v/>
      </c>
      <c r="N98" s="1391" t="str">
        <f>IF(SUM('別紙様式2-2（４・５月分）'!Q77:Q79)=0,"",SUM('別紙様式2-2（４・５月分）'!Q77:Q79))</f>
        <v/>
      </c>
      <c r="O98" s="1395" t="str">
        <f>IFERROR(VLOOKUP('別紙様式2-2（４・５月分）'!AQ77,【参考】数式用!$AR$5:$AS$22,2,FALSE),"")</f>
        <v/>
      </c>
      <c r="P98" s="1396"/>
      <c r="Q98" s="1397"/>
      <c r="R98" s="1401" t="str">
        <f>IFERROR(VLOOKUP(K98,【参考】数式用!$A$5:$AB$37,MATCH(O98,【参考】数式用!$B$4:$AB$4,0)+1,0),"")</f>
        <v/>
      </c>
      <c r="S98" s="1403" t="s">
        <v>2021</v>
      </c>
      <c r="T98" s="1405"/>
      <c r="U98" s="1407" t="str">
        <f>IFERROR(VLOOKUP(K98,【参考】数式用!$A$5:$AB$37,MATCH(T98,【参考】数式用!$B$4:$AB$4,0)+1,0),"")</f>
        <v/>
      </c>
      <c r="V98" s="1409" t="s">
        <v>15</v>
      </c>
      <c r="W98" s="1347">
        <v>6</v>
      </c>
      <c r="X98" s="1349" t="s">
        <v>10</v>
      </c>
      <c r="Y98" s="1347">
        <v>6</v>
      </c>
      <c r="Z98" s="1349" t="s">
        <v>38</v>
      </c>
      <c r="AA98" s="1347">
        <v>7</v>
      </c>
      <c r="AB98" s="1349" t="s">
        <v>10</v>
      </c>
      <c r="AC98" s="1347">
        <v>3</v>
      </c>
      <c r="AD98" s="1349" t="s">
        <v>13</v>
      </c>
      <c r="AE98" s="1349" t="s">
        <v>20</v>
      </c>
      <c r="AF98" s="1349">
        <f>IF(W98&gt;=1,(AA98*12+AC98)-(W98*12+Y98)+1,"")</f>
        <v>10</v>
      </c>
      <c r="AG98" s="1351" t="s">
        <v>33</v>
      </c>
      <c r="AH98" s="1353" t="str">
        <f t="shared" ref="AH98" si="222">IFERROR(ROUNDDOWN(ROUND(L98*U98,0),0)*AF98,"")</f>
        <v/>
      </c>
      <c r="AI98" s="1355" t="str">
        <f t="shared" ref="AI98" si="223">IFERROR(ROUNDDOWN(ROUND((L98*(U98-AW98)),0),0)*AF98,"")</f>
        <v/>
      </c>
      <c r="AJ98" s="1357">
        <f>IFERROR(IF(OR(M98="",M99="",M101=""),0,ROUNDDOWN(ROUNDDOWN(ROUND(L98*VLOOKUP(K98,【参考】数式用!$A$5:$AB$37,MATCH("新加算Ⅳ",【参考】数式用!$B$4:$AB$4,0)+1,0),0),0)*AF98*0.5,0)),"")</f>
        <v>0</v>
      </c>
      <c r="AK98" s="1341"/>
      <c r="AL98" s="1345">
        <f>IFERROR(IF(OR(M101="ベア加算",M101=""),0, IF(OR(T98="新加算Ⅰ",T98="新加算Ⅱ",T98="新加算Ⅲ",T98="新加算Ⅳ"),ROUNDDOWN(ROUND(L98*VLOOKUP(K98,【参考】数式用!$A$5:$I$37,MATCH("ベア加算",【参考】数式用!$B$4:$I$4,0)+1,0),0),0)*AF98,0)),"")</f>
        <v>0</v>
      </c>
      <c r="AM98" s="1331"/>
      <c r="AN98" s="1337"/>
      <c r="AO98" s="1333"/>
      <c r="AP98" s="1333"/>
      <c r="AQ98" s="1335"/>
      <c r="AR98" s="1315"/>
      <c r="AS98" s="465" t="str">
        <f t="shared" ref="AS98" si="224">IF(AU98="","",IF(U98&lt;N98,"！加算の要件上は問題ありませんが、令和６年４・５月と比較して令和６年６月に加算率が下がる計画になっています。",""))</f>
        <v/>
      </c>
      <c r="AT98" s="554"/>
      <c r="AU98" s="1303" t="str">
        <f>IF(K98&lt;&gt;"","V列に色付け","")</f>
        <v/>
      </c>
      <c r="AV98" s="555" t="str">
        <f>IF('別紙様式2-2（４・５月分）'!N77="","",'別紙様式2-2（４・５月分）'!N77)</f>
        <v/>
      </c>
      <c r="AW98" s="1305" t="str">
        <f>IF(SUM('別紙様式2-2（４・５月分）'!O77:O79)=0,"",SUM('別紙様式2-2（４・５月分）'!O77:O79))</f>
        <v/>
      </c>
      <c r="AX98" s="1306" t="str">
        <f>IFERROR(VLOOKUP(K98,【参考】数式用!$AH$2:$AI$34,2,FALSE),"")</f>
        <v/>
      </c>
      <c r="AY98" s="1222" t="s">
        <v>1959</v>
      </c>
      <c r="AZ98" s="1222" t="s">
        <v>1960</v>
      </c>
      <c r="BA98" s="1222" t="s">
        <v>1961</v>
      </c>
      <c r="BB98" s="1222" t="s">
        <v>1962</v>
      </c>
      <c r="BC98" s="1222" t="str">
        <f>IF(AND(O98&lt;&gt;"新加算Ⅰ",O98&lt;&gt;"新加算Ⅱ",O98&lt;&gt;"新加算Ⅲ",O98&lt;&gt;"新加算Ⅳ"),O98,IF(P100&lt;&gt;"",P100,""))</f>
        <v/>
      </c>
      <c r="BD98" s="1222"/>
      <c r="BE98" s="1222" t="str">
        <f t="shared" ref="BE98" si="225">IF(AL98&lt;&gt;0,IF(AM98="○","入力済","未入力"),"")</f>
        <v/>
      </c>
      <c r="BF98" s="1222"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2" t="str">
        <f>IF(OR(T98="新加算Ⅴ（７）",T98="新加算Ⅴ（９）",T98="新加算Ⅴ（10）",T98="新加算Ⅴ（12）",T98="新加算Ⅴ（13）",T98="新加算Ⅴ（14）"),IF(OR(AO98="○",AO98="令和６年度中に満たす"),"入力済","未入力"),"")</f>
        <v/>
      </c>
      <c r="BH98" s="1323" t="str">
        <f t="shared" ref="BH98" si="226">IF(OR(T98="新加算Ⅰ",T98="新加算Ⅱ",T98="新加算Ⅲ",T98="新加算Ⅴ（１）",T98="新加算Ⅴ（３）",T98="新加算Ⅴ（８）"),IF(OR(AP98="○",AP98="令和６年度中に満たす"),"入力済","未入力"),"")</f>
        <v/>
      </c>
      <c r="BI98" s="1325" t="str">
        <f t="shared" ref="BI98" si="227">IF(OR(T98="新加算Ⅰ",T98="新加算Ⅱ",T98="新加算Ⅴ（１）",T98="新加算Ⅴ（２）",T98="新加算Ⅴ（３）",T98="新加算Ⅴ（４）",T98="新加算Ⅴ（５）",T98="新加算Ⅴ（６）",T98="新加算Ⅴ（７）",T98="新加算Ⅴ（９）",T98="新加算Ⅴ（10）",T98="新加算Ⅴ（12）"),1,"")</f>
        <v/>
      </c>
      <c r="BJ98" s="1303" t="str">
        <f>IF(OR(T98="新加算Ⅰ",T98="新加算Ⅴ（１）",T98="新加算Ⅴ（２）",T98="新加算Ⅴ（５）",T98="新加算Ⅴ（７）",T98="新加算Ⅴ（10）"),IF(AR98="","未入力","入力済"),"")</f>
        <v/>
      </c>
      <c r="BK98" s="452" t="str">
        <f>G98</f>
        <v/>
      </c>
    </row>
    <row r="99" spans="1:63" ht="15" customHeight="1">
      <c r="A99" s="1267"/>
      <c r="B99" s="1235"/>
      <c r="C99" s="1236"/>
      <c r="D99" s="1236"/>
      <c r="E99" s="1236"/>
      <c r="F99" s="1237"/>
      <c r="G99" s="1252"/>
      <c r="H99" s="1252"/>
      <c r="I99" s="1252"/>
      <c r="J99" s="1415"/>
      <c r="K99" s="1252"/>
      <c r="L99" s="1276"/>
      <c r="M99" s="1371" t="str">
        <f>IF('別紙様式2-2（４・５月分）'!P78="","",'別紙様式2-2（４・５月分）'!P78)</f>
        <v/>
      </c>
      <c r="N99" s="1392"/>
      <c r="O99" s="1398"/>
      <c r="P99" s="1399"/>
      <c r="Q99" s="1400"/>
      <c r="R99" s="1402"/>
      <c r="S99" s="1404"/>
      <c r="T99" s="1406"/>
      <c r="U99" s="1408"/>
      <c r="V99" s="1410"/>
      <c r="W99" s="1348"/>
      <c r="X99" s="1350"/>
      <c r="Y99" s="1348"/>
      <c r="Z99" s="1350"/>
      <c r="AA99" s="1348"/>
      <c r="AB99" s="1350"/>
      <c r="AC99" s="1348"/>
      <c r="AD99" s="1350"/>
      <c r="AE99" s="1350"/>
      <c r="AF99" s="1350"/>
      <c r="AG99" s="1352"/>
      <c r="AH99" s="1354"/>
      <c r="AI99" s="1356"/>
      <c r="AJ99" s="1358"/>
      <c r="AK99" s="1342"/>
      <c r="AL99" s="1346"/>
      <c r="AM99" s="1332"/>
      <c r="AN99" s="1338"/>
      <c r="AO99" s="1334"/>
      <c r="AP99" s="1334"/>
      <c r="AQ99" s="1336"/>
      <c r="AR99" s="1316"/>
      <c r="AS99" s="1302"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4"/>
      <c r="AU99" s="1303"/>
      <c r="AV99" s="1304" t="str">
        <f>IF('別紙様式2-2（４・５月分）'!N78="","",'別紙様式2-2（４・５月分）'!N78)</f>
        <v/>
      </c>
      <c r="AW99" s="1305"/>
      <c r="AX99" s="1306"/>
      <c r="AY99" s="1222"/>
      <c r="AZ99" s="1222"/>
      <c r="BA99" s="1222"/>
      <c r="BB99" s="1222"/>
      <c r="BC99" s="1222"/>
      <c r="BD99" s="1222"/>
      <c r="BE99" s="1222"/>
      <c r="BF99" s="1222"/>
      <c r="BG99" s="1222"/>
      <c r="BH99" s="1324"/>
      <c r="BI99" s="1326"/>
      <c r="BJ99" s="1303"/>
      <c r="BK99" s="452" t="str">
        <f>G98</f>
        <v/>
      </c>
    </row>
    <row r="100" spans="1:63" ht="15" customHeight="1">
      <c r="A100" s="1295"/>
      <c r="B100" s="1235"/>
      <c r="C100" s="1236"/>
      <c r="D100" s="1236"/>
      <c r="E100" s="1236"/>
      <c r="F100" s="1237"/>
      <c r="G100" s="1252"/>
      <c r="H100" s="1252"/>
      <c r="I100" s="1252"/>
      <c r="J100" s="1415"/>
      <c r="K100" s="1252"/>
      <c r="L100" s="1276"/>
      <c r="M100" s="1372"/>
      <c r="N100" s="1393"/>
      <c r="O100" s="1373" t="s">
        <v>2025</v>
      </c>
      <c r="P100" s="1375" t="str">
        <f>IFERROR(VLOOKUP('別紙様式2-2（４・５月分）'!AQ77,【参考】数式用!$AR$5:$AT$22,3,FALSE),"")</f>
        <v/>
      </c>
      <c r="Q100" s="1377" t="s">
        <v>2036</v>
      </c>
      <c r="R100" s="1379" t="str">
        <f>IFERROR(VLOOKUP(K98,【参考】数式用!$A$5:$AB$37,MATCH(P100,【参考】数式用!$B$4:$AB$4,0)+1,0),"")</f>
        <v/>
      </c>
      <c r="S100" s="1381" t="s">
        <v>161</v>
      </c>
      <c r="T100" s="1383"/>
      <c r="U100" s="1385" t="str">
        <f>IFERROR(VLOOKUP(K98,【参考】数式用!$A$5:$AB$37,MATCH(T100,【参考】数式用!$B$4:$AB$4,0)+1,0),"")</f>
        <v/>
      </c>
      <c r="V100" s="1387" t="s">
        <v>15</v>
      </c>
      <c r="W100" s="1389">
        <v>7</v>
      </c>
      <c r="X100" s="1363" t="s">
        <v>10</v>
      </c>
      <c r="Y100" s="1389">
        <v>4</v>
      </c>
      <c r="Z100" s="1363" t="s">
        <v>38</v>
      </c>
      <c r="AA100" s="1389">
        <v>8</v>
      </c>
      <c r="AB100" s="1363" t="s">
        <v>10</v>
      </c>
      <c r="AC100" s="1389">
        <v>3</v>
      </c>
      <c r="AD100" s="1363" t="s">
        <v>13</v>
      </c>
      <c r="AE100" s="1363" t="s">
        <v>20</v>
      </c>
      <c r="AF100" s="1363">
        <f>IF(W100&gt;=1,(AA100*12+AC100)-(W100*12+Y100)+1,"")</f>
        <v>12</v>
      </c>
      <c r="AG100" s="1359" t="s">
        <v>33</v>
      </c>
      <c r="AH100" s="1365" t="str">
        <f t="shared" ref="AH100" si="229">IFERROR(ROUNDDOWN(ROUND(L98*U100,0),0)*AF100,"")</f>
        <v/>
      </c>
      <c r="AI100" s="1367" t="str">
        <f t="shared" ref="AI100" si="230">IFERROR(ROUNDDOWN(ROUND((L98*(U100-AW98)),0),0)*AF100,"")</f>
        <v/>
      </c>
      <c r="AJ100" s="1369">
        <f>IFERROR(IF(OR(M98="",M99="",M101=""),0,ROUNDDOWN(ROUNDDOWN(ROUND(L98*VLOOKUP(K98,【参考】数式用!$A$5:$AB$37,MATCH("新加算Ⅳ",【参考】数式用!$B$4:$AB$4,0)+1,0),0),0)*AF100*0.5,0)),"")</f>
        <v>0</v>
      </c>
      <c r="AK100" s="1339" t="str">
        <f t="shared" ref="AK100" si="231">IF(T100&lt;&gt;"","新規に適用","")</f>
        <v/>
      </c>
      <c r="AL100" s="1343">
        <f>IFERROR(IF(OR(M101="ベア加算",M101=""),0, IF(OR(T98="新加算Ⅰ",T98="新加算Ⅱ",T98="新加算Ⅲ",T98="新加算Ⅳ"),0,ROUNDDOWN(ROUND(L98*VLOOKUP(K98,【参考】数式用!$A$5:$I$37,MATCH("ベア加算",【参考】数式用!$B$4:$I$4,0)+1,0),0),0)*AF100)),"")</f>
        <v>0</v>
      </c>
      <c r="AM100" s="1313" t="str">
        <f>IF(AND(T100&lt;&gt;"",AM98=""),"新規に適用",IF(AND(T100&lt;&gt;"",AM98&lt;&gt;""),"継続で適用",""))</f>
        <v/>
      </c>
      <c r="AN100" s="1313" t="str">
        <f>IF(AND(T100&lt;&gt;"",AN98=""),"新規に適用",IF(AND(T100&lt;&gt;"",AN98&lt;&gt;""),"継続で適用",""))</f>
        <v/>
      </c>
      <c r="AO100" s="1361"/>
      <c r="AP100" s="1313" t="str">
        <f>IF(AND(T100&lt;&gt;"",AP98=""),"新規に適用",IF(AND(T100&lt;&gt;"",AP98&lt;&gt;""),"継続で適用",""))</f>
        <v/>
      </c>
      <c r="AQ100" s="1317" t="str">
        <f t="shared" si="66"/>
        <v/>
      </c>
      <c r="AR100" s="1313" t="str">
        <f>IF(AND(T100&lt;&gt;"",AR98=""),"新規に適用",IF(AND(T100&lt;&gt;"",AR98&lt;&gt;""),"継続で適用",""))</f>
        <v/>
      </c>
      <c r="AS100" s="1302"/>
      <c r="AT100" s="554"/>
      <c r="AU100" s="1303" t="str">
        <f>IF(K98&lt;&gt;"","V列に色付け","")</f>
        <v/>
      </c>
      <c r="AV100" s="1304"/>
      <c r="AW100" s="1305"/>
      <c r="AX100"/>
      <c r="AY100"/>
      <c r="AZ100"/>
      <c r="BA100"/>
      <c r="BB100"/>
      <c r="BC100"/>
      <c r="BD100"/>
      <c r="BE100"/>
      <c r="BF100"/>
      <c r="BG100"/>
      <c r="BH100"/>
      <c r="BI100"/>
      <c r="BJ100"/>
      <c r="BK100" s="452" t="str">
        <f>G98</f>
        <v/>
      </c>
    </row>
    <row r="101" spans="1:63" ht="30" customHeight="1" thickBot="1">
      <c r="A101" s="1268"/>
      <c r="B101" s="1411"/>
      <c r="C101" s="1412"/>
      <c r="D101" s="1412"/>
      <c r="E101" s="1412"/>
      <c r="F101" s="1413"/>
      <c r="G101" s="1253"/>
      <c r="H101" s="1253"/>
      <c r="I101" s="1253"/>
      <c r="J101" s="1416"/>
      <c r="K101" s="1253"/>
      <c r="L101" s="1277"/>
      <c r="M101" s="553" t="str">
        <f>IF('別紙様式2-2（４・５月分）'!P79="","",'別紙様式2-2（４・５月分）'!P79)</f>
        <v/>
      </c>
      <c r="N101" s="1394"/>
      <c r="O101" s="1374"/>
      <c r="P101" s="1376"/>
      <c r="Q101" s="1378"/>
      <c r="R101" s="1380"/>
      <c r="S101" s="1382"/>
      <c r="T101" s="1384"/>
      <c r="U101" s="1386"/>
      <c r="V101" s="1388"/>
      <c r="W101" s="1390"/>
      <c r="X101" s="1364"/>
      <c r="Y101" s="1390"/>
      <c r="Z101" s="1364"/>
      <c r="AA101" s="1390"/>
      <c r="AB101" s="1364"/>
      <c r="AC101" s="1390"/>
      <c r="AD101" s="1364"/>
      <c r="AE101" s="1364"/>
      <c r="AF101" s="1364"/>
      <c r="AG101" s="1360"/>
      <c r="AH101" s="1366"/>
      <c r="AI101" s="1368"/>
      <c r="AJ101" s="1370"/>
      <c r="AK101" s="1340"/>
      <c r="AL101" s="1344"/>
      <c r="AM101" s="1314"/>
      <c r="AN101" s="1314"/>
      <c r="AO101" s="1362"/>
      <c r="AP101" s="1314"/>
      <c r="AQ101" s="1318"/>
      <c r="AR101" s="1314"/>
      <c r="AS101" s="490"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4"/>
      <c r="AU101" s="1303"/>
      <c r="AV101" s="555" t="str">
        <f>IF('別紙様式2-2（４・５月分）'!N79="","",'別紙様式2-2（４・５月分）'!N79)</f>
        <v/>
      </c>
      <c r="AW101" s="1305"/>
      <c r="AX101"/>
      <c r="AY101"/>
      <c r="AZ101"/>
      <c r="BA101"/>
      <c r="BB101"/>
      <c r="BC101"/>
      <c r="BD101"/>
      <c r="BE101"/>
      <c r="BF101"/>
      <c r="BG101"/>
      <c r="BH101"/>
      <c r="BI101"/>
      <c r="BJ101"/>
      <c r="BK101" s="452" t="str">
        <f>G98</f>
        <v/>
      </c>
    </row>
    <row r="102" spans="1:63" ht="30" customHeight="1">
      <c r="A102" s="1266">
        <v>23</v>
      </c>
      <c r="B102" s="1235" t="str">
        <f>IF(基本情報入力シート!C76="","",基本情報入力シート!C76)</f>
        <v/>
      </c>
      <c r="C102" s="1236"/>
      <c r="D102" s="1236"/>
      <c r="E102" s="1236"/>
      <c r="F102" s="1237"/>
      <c r="G102" s="1252" t="str">
        <f>IF(基本情報入力シート!M76="","",基本情報入力シート!M76)</f>
        <v/>
      </c>
      <c r="H102" s="1252" t="str">
        <f>IF(基本情報入力シート!R76="","",基本情報入力シート!R76)</f>
        <v/>
      </c>
      <c r="I102" s="1252" t="str">
        <f>IF(基本情報入力シート!W76="","",基本情報入力シート!W76)</f>
        <v/>
      </c>
      <c r="J102" s="1415" t="str">
        <f>IF(基本情報入力シート!X76="","",基本情報入力シート!X76)</f>
        <v/>
      </c>
      <c r="K102" s="1252" t="str">
        <f>IF(基本情報入力シート!Y76="","",基本情報入力シート!Y76)</f>
        <v/>
      </c>
      <c r="L102" s="1276" t="str">
        <f>IF(基本情報入力シート!AB76="","",基本情報入力シート!AB76)</f>
        <v/>
      </c>
      <c r="M102" s="550" t="str">
        <f>IF('別紙様式2-2（４・５月分）'!P80="","",'別紙様式2-2（４・５月分）'!P80)</f>
        <v/>
      </c>
      <c r="N102" s="1391" t="str">
        <f>IF(SUM('別紙様式2-2（４・５月分）'!Q80:Q82)=0,"",SUM('別紙様式2-2（４・５月分）'!Q80:Q82))</f>
        <v/>
      </c>
      <c r="O102" s="1395" t="str">
        <f>IFERROR(VLOOKUP('別紙様式2-2（４・５月分）'!AQ80,【参考】数式用!$AR$5:$AS$22,2,FALSE),"")</f>
        <v/>
      </c>
      <c r="P102" s="1396"/>
      <c r="Q102" s="1397"/>
      <c r="R102" s="1401" t="str">
        <f>IFERROR(VLOOKUP(K102,【参考】数式用!$A$5:$AB$37,MATCH(O102,【参考】数式用!$B$4:$AB$4,0)+1,0),"")</f>
        <v/>
      </c>
      <c r="S102" s="1403" t="s">
        <v>2021</v>
      </c>
      <c r="T102" s="1405"/>
      <c r="U102" s="1407" t="str">
        <f>IFERROR(VLOOKUP(K102,【参考】数式用!$A$5:$AB$37,MATCH(T102,【参考】数式用!$B$4:$AB$4,0)+1,0),"")</f>
        <v/>
      </c>
      <c r="V102" s="1409" t="s">
        <v>15</v>
      </c>
      <c r="W102" s="1347">
        <v>6</v>
      </c>
      <c r="X102" s="1349" t="s">
        <v>10</v>
      </c>
      <c r="Y102" s="1347">
        <v>6</v>
      </c>
      <c r="Z102" s="1349" t="s">
        <v>38</v>
      </c>
      <c r="AA102" s="1347">
        <v>7</v>
      </c>
      <c r="AB102" s="1349" t="s">
        <v>10</v>
      </c>
      <c r="AC102" s="1347">
        <v>3</v>
      </c>
      <c r="AD102" s="1349" t="s">
        <v>13</v>
      </c>
      <c r="AE102" s="1349" t="s">
        <v>20</v>
      </c>
      <c r="AF102" s="1349">
        <f>IF(W102&gt;=1,(AA102*12+AC102)-(W102*12+Y102)+1,"")</f>
        <v>10</v>
      </c>
      <c r="AG102" s="1351" t="s">
        <v>33</v>
      </c>
      <c r="AH102" s="1353" t="str">
        <f t="shared" ref="AH102" si="233">IFERROR(ROUNDDOWN(ROUND(L102*U102,0),0)*AF102,"")</f>
        <v/>
      </c>
      <c r="AI102" s="1355" t="str">
        <f t="shared" ref="AI102" si="234">IFERROR(ROUNDDOWN(ROUND((L102*(U102-AW102)),0),0)*AF102,"")</f>
        <v/>
      </c>
      <c r="AJ102" s="1357">
        <f>IFERROR(IF(OR(M102="",M103="",M105=""),0,ROUNDDOWN(ROUNDDOWN(ROUND(L102*VLOOKUP(K102,【参考】数式用!$A$5:$AB$37,MATCH("新加算Ⅳ",【参考】数式用!$B$4:$AB$4,0)+1,0),0),0)*AF102*0.5,0)),"")</f>
        <v>0</v>
      </c>
      <c r="AK102" s="1341"/>
      <c r="AL102" s="1345">
        <f>IFERROR(IF(OR(M105="ベア加算",M105=""),0, IF(OR(T102="新加算Ⅰ",T102="新加算Ⅱ",T102="新加算Ⅲ",T102="新加算Ⅳ"),ROUNDDOWN(ROUND(L102*VLOOKUP(K102,【参考】数式用!$A$5:$I$37,MATCH("ベア加算",【参考】数式用!$B$4:$I$4,0)+1,0),0),0)*AF102,0)),"")</f>
        <v>0</v>
      </c>
      <c r="AM102" s="1331"/>
      <c r="AN102" s="1337"/>
      <c r="AO102" s="1333"/>
      <c r="AP102" s="1333"/>
      <c r="AQ102" s="1335"/>
      <c r="AR102" s="1315"/>
      <c r="AS102" s="465" t="str">
        <f t="shared" ref="AS102" si="235">IF(AU102="","",IF(U102&lt;N102,"！加算の要件上は問題ありませんが、令和６年４・５月と比較して令和６年６月に加算率が下がる計画になっています。",""))</f>
        <v/>
      </c>
      <c r="AT102" s="554"/>
      <c r="AU102" s="1303" t="str">
        <f>IF(K102&lt;&gt;"","V列に色付け","")</f>
        <v/>
      </c>
      <c r="AV102" s="555" t="str">
        <f>IF('別紙様式2-2（４・５月分）'!N80="","",'別紙様式2-2（４・５月分）'!N80)</f>
        <v/>
      </c>
      <c r="AW102" s="1305" t="str">
        <f>IF(SUM('別紙様式2-2（４・５月分）'!O80:O82)=0,"",SUM('別紙様式2-2（４・５月分）'!O80:O82))</f>
        <v/>
      </c>
      <c r="AX102" s="1306" t="str">
        <f>IFERROR(VLOOKUP(K102,【参考】数式用!$AH$2:$AI$34,2,FALSE),"")</f>
        <v/>
      </c>
      <c r="AY102" s="1222" t="s">
        <v>1959</v>
      </c>
      <c r="AZ102" s="1222" t="s">
        <v>1960</v>
      </c>
      <c r="BA102" s="1222" t="s">
        <v>1961</v>
      </c>
      <c r="BB102" s="1222" t="s">
        <v>1962</v>
      </c>
      <c r="BC102" s="1222" t="str">
        <f>IF(AND(O102&lt;&gt;"新加算Ⅰ",O102&lt;&gt;"新加算Ⅱ",O102&lt;&gt;"新加算Ⅲ",O102&lt;&gt;"新加算Ⅳ"),O102,IF(P104&lt;&gt;"",P104,""))</f>
        <v/>
      </c>
      <c r="BD102" s="1222"/>
      <c r="BE102" s="1222" t="str">
        <f t="shared" ref="BE102" si="236">IF(AL102&lt;&gt;0,IF(AM102="○","入力済","未入力"),"")</f>
        <v/>
      </c>
      <c r="BF102" s="1222"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2" t="str">
        <f>IF(OR(T102="新加算Ⅴ（７）",T102="新加算Ⅴ（９）",T102="新加算Ⅴ（10）",T102="新加算Ⅴ（12）",T102="新加算Ⅴ（13）",T102="新加算Ⅴ（14）"),IF(OR(AO102="○",AO102="令和６年度中に満たす"),"入力済","未入力"),"")</f>
        <v/>
      </c>
      <c r="BH102" s="1323" t="str">
        <f t="shared" ref="BH102" si="237">IF(OR(T102="新加算Ⅰ",T102="新加算Ⅱ",T102="新加算Ⅲ",T102="新加算Ⅴ（１）",T102="新加算Ⅴ（３）",T102="新加算Ⅴ（８）"),IF(OR(AP102="○",AP102="令和６年度中に満たす"),"入力済","未入力"),"")</f>
        <v/>
      </c>
      <c r="BI102" s="1325" t="str">
        <f t="shared" ref="BI102" si="238">IF(OR(T102="新加算Ⅰ",T102="新加算Ⅱ",T102="新加算Ⅴ（１）",T102="新加算Ⅴ（２）",T102="新加算Ⅴ（３）",T102="新加算Ⅴ（４）",T102="新加算Ⅴ（５）",T102="新加算Ⅴ（６）",T102="新加算Ⅴ（７）",T102="新加算Ⅴ（９）",T102="新加算Ⅴ（10）",T102="新加算Ⅴ（12）"),1,"")</f>
        <v/>
      </c>
      <c r="BJ102" s="1303" t="str">
        <f>IF(OR(T102="新加算Ⅰ",T102="新加算Ⅴ（１）",T102="新加算Ⅴ（２）",T102="新加算Ⅴ（５）",T102="新加算Ⅴ（７）",T102="新加算Ⅴ（10）"),IF(AR102="","未入力","入力済"),"")</f>
        <v/>
      </c>
      <c r="BK102" s="452" t="str">
        <f>G102</f>
        <v/>
      </c>
    </row>
    <row r="103" spans="1:63" ht="15" customHeight="1">
      <c r="A103" s="1267"/>
      <c r="B103" s="1235"/>
      <c r="C103" s="1236"/>
      <c r="D103" s="1236"/>
      <c r="E103" s="1236"/>
      <c r="F103" s="1237"/>
      <c r="G103" s="1252"/>
      <c r="H103" s="1252"/>
      <c r="I103" s="1252"/>
      <c r="J103" s="1415"/>
      <c r="K103" s="1252"/>
      <c r="L103" s="1276"/>
      <c r="M103" s="1371" t="str">
        <f>IF('別紙様式2-2（４・５月分）'!P81="","",'別紙様式2-2（４・５月分）'!P81)</f>
        <v/>
      </c>
      <c r="N103" s="1392"/>
      <c r="O103" s="1398"/>
      <c r="P103" s="1399"/>
      <c r="Q103" s="1400"/>
      <c r="R103" s="1402"/>
      <c r="S103" s="1404"/>
      <c r="T103" s="1406"/>
      <c r="U103" s="1408"/>
      <c r="V103" s="1410"/>
      <c r="W103" s="1348"/>
      <c r="X103" s="1350"/>
      <c r="Y103" s="1348"/>
      <c r="Z103" s="1350"/>
      <c r="AA103" s="1348"/>
      <c r="AB103" s="1350"/>
      <c r="AC103" s="1348"/>
      <c r="AD103" s="1350"/>
      <c r="AE103" s="1350"/>
      <c r="AF103" s="1350"/>
      <c r="AG103" s="1352"/>
      <c r="AH103" s="1354"/>
      <c r="AI103" s="1356"/>
      <c r="AJ103" s="1358"/>
      <c r="AK103" s="1342"/>
      <c r="AL103" s="1346"/>
      <c r="AM103" s="1332"/>
      <c r="AN103" s="1338"/>
      <c r="AO103" s="1334"/>
      <c r="AP103" s="1334"/>
      <c r="AQ103" s="1336"/>
      <c r="AR103" s="1316"/>
      <c r="AS103" s="1302"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4"/>
      <c r="AU103" s="1303"/>
      <c r="AV103" s="1304" t="str">
        <f>IF('別紙様式2-2（４・５月分）'!N81="","",'別紙様式2-2（４・５月分）'!N81)</f>
        <v/>
      </c>
      <c r="AW103" s="1305"/>
      <c r="AX103" s="1306"/>
      <c r="AY103" s="1222"/>
      <c r="AZ103" s="1222"/>
      <c r="BA103" s="1222"/>
      <c r="BB103" s="1222"/>
      <c r="BC103" s="1222"/>
      <c r="BD103" s="1222"/>
      <c r="BE103" s="1222"/>
      <c r="BF103" s="1222"/>
      <c r="BG103" s="1222"/>
      <c r="BH103" s="1324"/>
      <c r="BI103" s="1326"/>
      <c r="BJ103" s="1303"/>
      <c r="BK103" s="452" t="str">
        <f>G102</f>
        <v/>
      </c>
    </row>
    <row r="104" spans="1:63" ht="15" customHeight="1">
      <c r="A104" s="1295"/>
      <c r="B104" s="1235"/>
      <c r="C104" s="1236"/>
      <c r="D104" s="1236"/>
      <c r="E104" s="1236"/>
      <c r="F104" s="1237"/>
      <c r="G104" s="1252"/>
      <c r="H104" s="1252"/>
      <c r="I104" s="1252"/>
      <c r="J104" s="1415"/>
      <c r="K104" s="1252"/>
      <c r="L104" s="1276"/>
      <c r="M104" s="1372"/>
      <c r="N104" s="1393"/>
      <c r="O104" s="1373" t="s">
        <v>2025</v>
      </c>
      <c r="P104" s="1375" t="str">
        <f>IFERROR(VLOOKUP('別紙様式2-2（４・５月分）'!AQ80,【参考】数式用!$AR$5:$AT$22,3,FALSE),"")</f>
        <v/>
      </c>
      <c r="Q104" s="1377" t="s">
        <v>2036</v>
      </c>
      <c r="R104" s="1379" t="str">
        <f>IFERROR(VLOOKUP(K102,【参考】数式用!$A$5:$AB$37,MATCH(P104,【参考】数式用!$B$4:$AB$4,0)+1,0),"")</f>
        <v/>
      </c>
      <c r="S104" s="1381" t="s">
        <v>161</v>
      </c>
      <c r="T104" s="1383"/>
      <c r="U104" s="1385" t="str">
        <f>IFERROR(VLOOKUP(K102,【参考】数式用!$A$5:$AB$37,MATCH(T104,【参考】数式用!$B$4:$AB$4,0)+1,0),"")</f>
        <v/>
      </c>
      <c r="V104" s="1387" t="s">
        <v>15</v>
      </c>
      <c r="W104" s="1389">
        <v>7</v>
      </c>
      <c r="X104" s="1363" t="s">
        <v>10</v>
      </c>
      <c r="Y104" s="1389">
        <v>4</v>
      </c>
      <c r="Z104" s="1363" t="s">
        <v>38</v>
      </c>
      <c r="AA104" s="1389">
        <v>8</v>
      </c>
      <c r="AB104" s="1363" t="s">
        <v>10</v>
      </c>
      <c r="AC104" s="1389">
        <v>3</v>
      </c>
      <c r="AD104" s="1363" t="s">
        <v>13</v>
      </c>
      <c r="AE104" s="1363" t="s">
        <v>20</v>
      </c>
      <c r="AF104" s="1363">
        <f>IF(W104&gt;=1,(AA104*12+AC104)-(W104*12+Y104)+1,"")</f>
        <v>12</v>
      </c>
      <c r="AG104" s="1359" t="s">
        <v>33</v>
      </c>
      <c r="AH104" s="1365" t="str">
        <f t="shared" ref="AH104" si="240">IFERROR(ROUNDDOWN(ROUND(L102*U104,0),0)*AF104,"")</f>
        <v/>
      </c>
      <c r="AI104" s="1367" t="str">
        <f t="shared" ref="AI104" si="241">IFERROR(ROUNDDOWN(ROUND((L102*(U104-AW102)),0),0)*AF104,"")</f>
        <v/>
      </c>
      <c r="AJ104" s="1369">
        <f>IFERROR(IF(OR(M102="",M103="",M105=""),0,ROUNDDOWN(ROUNDDOWN(ROUND(L102*VLOOKUP(K102,【参考】数式用!$A$5:$AB$37,MATCH("新加算Ⅳ",【参考】数式用!$B$4:$AB$4,0)+1,0),0),0)*AF104*0.5,0)),"")</f>
        <v>0</v>
      </c>
      <c r="AK104" s="1339" t="str">
        <f t="shared" ref="AK104" si="242">IF(T104&lt;&gt;"","新規に適用","")</f>
        <v/>
      </c>
      <c r="AL104" s="1343">
        <f>IFERROR(IF(OR(M105="ベア加算",M105=""),0, IF(OR(T102="新加算Ⅰ",T102="新加算Ⅱ",T102="新加算Ⅲ",T102="新加算Ⅳ"),0,ROUNDDOWN(ROUND(L102*VLOOKUP(K102,【参考】数式用!$A$5:$I$37,MATCH("ベア加算",【参考】数式用!$B$4:$I$4,0)+1,0),0),0)*AF104)),"")</f>
        <v>0</v>
      </c>
      <c r="AM104" s="1313" t="str">
        <f>IF(AND(T104&lt;&gt;"",AM102=""),"新規に適用",IF(AND(T104&lt;&gt;"",AM102&lt;&gt;""),"継続で適用",""))</f>
        <v/>
      </c>
      <c r="AN104" s="1313" t="str">
        <f>IF(AND(T104&lt;&gt;"",AN102=""),"新規に適用",IF(AND(T104&lt;&gt;"",AN102&lt;&gt;""),"継続で適用",""))</f>
        <v/>
      </c>
      <c r="AO104" s="1361"/>
      <c r="AP104" s="1313" t="str">
        <f>IF(AND(T104&lt;&gt;"",AP102=""),"新規に適用",IF(AND(T104&lt;&gt;"",AP102&lt;&gt;""),"継続で適用",""))</f>
        <v/>
      </c>
      <c r="AQ104" s="1317"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13" t="str">
        <f>IF(AND(T104&lt;&gt;"",AR102=""),"新規に適用",IF(AND(T104&lt;&gt;"",AR102&lt;&gt;""),"継続で適用",""))</f>
        <v/>
      </c>
      <c r="AS104" s="1302"/>
      <c r="AT104" s="554"/>
      <c r="AU104" s="1303" t="str">
        <f>IF(K102&lt;&gt;"","V列に色付け","")</f>
        <v/>
      </c>
      <c r="AV104" s="1304"/>
      <c r="AW104" s="1305"/>
      <c r="AX104"/>
      <c r="AY104"/>
      <c r="AZ104"/>
      <c r="BA104"/>
      <c r="BB104"/>
      <c r="BC104"/>
      <c r="BD104"/>
      <c r="BE104"/>
      <c r="BF104"/>
      <c r="BG104"/>
      <c r="BH104"/>
      <c r="BI104"/>
      <c r="BJ104"/>
      <c r="BK104" s="452" t="str">
        <f>G102</f>
        <v/>
      </c>
    </row>
    <row r="105" spans="1:63" ht="30" customHeight="1" thickBot="1">
      <c r="A105" s="1268"/>
      <c r="B105" s="1411"/>
      <c r="C105" s="1412"/>
      <c r="D105" s="1412"/>
      <c r="E105" s="1412"/>
      <c r="F105" s="1413"/>
      <c r="G105" s="1253"/>
      <c r="H105" s="1253"/>
      <c r="I105" s="1253"/>
      <c r="J105" s="1416"/>
      <c r="K105" s="1253"/>
      <c r="L105" s="1277"/>
      <c r="M105" s="553" t="str">
        <f>IF('別紙様式2-2（４・５月分）'!P82="","",'別紙様式2-2（４・５月分）'!P82)</f>
        <v/>
      </c>
      <c r="N105" s="1394"/>
      <c r="O105" s="1374"/>
      <c r="P105" s="1376"/>
      <c r="Q105" s="1378"/>
      <c r="R105" s="1380"/>
      <c r="S105" s="1382"/>
      <c r="T105" s="1384"/>
      <c r="U105" s="1386"/>
      <c r="V105" s="1388"/>
      <c r="W105" s="1390"/>
      <c r="X105" s="1364"/>
      <c r="Y105" s="1390"/>
      <c r="Z105" s="1364"/>
      <c r="AA105" s="1390"/>
      <c r="AB105" s="1364"/>
      <c r="AC105" s="1390"/>
      <c r="AD105" s="1364"/>
      <c r="AE105" s="1364"/>
      <c r="AF105" s="1364"/>
      <c r="AG105" s="1360"/>
      <c r="AH105" s="1366"/>
      <c r="AI105" s="1368"/>
      <c r="AJ105" s="1370"/>
      <c r="AK105" s="1340"/>
      <c r="AL105" s="1344"/>
      <c r="AM105" s="1314"/>
      <c r="AN105" s="1314"/>
      <c r="AO105" s="1362"/>
      <c r="AP105" s="1314"/>
      <c r="AQ105" s="1318"/>
      <c r="AR105" s="1314"/>
      <c r="AS105" s="490"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4"/>
      <c r="AU105" s="1303"/>
      <c r="AV105" s="555" t="str">
        <f>IF('別紙様式2-2（４・５月分）'!N82="","",'別紙様式2-2（４・５月分）'!N82)</f>
        <v/>
      </c>
      <c r="AW105" s="1305"/>
      <c r="AX105"/>
      <c r="AY105"/>
      <c r="AZ105"/>
      <c r="BA105"/>
      <c r="BB105"/>
      <c r="BC105"/>
      <c r="BD105"/>
      <c r="BE105"/>
      <c r="BF105"/>
      <c r="BG105"/>
      <c r="BH105"/>
      <c r="BI105"/>
      <c r="BJ105"/>
      <c r="BK105" s="452" t="str">
        <f>G102</f>
        <v/>
      </c>
    </row>
    <row r="106" spans="1:63" ht="30" customHeight="1">
      <c r="A106" s="1293">
        <v>24</v>
      </c>
      <c r="B106" s="1232" t="str">
        <f>IF(基本情報入力シート!C77="","",基本情報入力シート!C77)</f>
        <v/>
      </c>
      <c r="C106" s="1233"/>
      <c r="D106" s="1233"/>
      <c r="E106" s="1233"/>
      <c r="F106" s="1234"/>
      <c r="G106" s="1251" t="str">
        <f>IF(基本情報入力シート!M77="","",基本情報入力シート!M77)</f>
        <v/>
      </c>
      <c r="H106" s="1251" t="str">
        <f>IF(基本情報入力シート!R77="","",基本情報入力シート!R77)</f>
        <v/>
      </c>
      <c r="I106" s="1251" t="str">
        <f>IF(基本情報入力シート!W77="","",基本情報入力シート!W77)</f>
        <v/>
      </c>
      <c r="J106" s="1414" t="str">
        <f>IF(基本情報入力シート!X77="","",基本情報入力シート!X77)</f>
        <v/>
      </c>
      <c r="K106" s="1251" t="str">
        <f>IF(基本情報入力シート!Y77="","",基本情報入力シート!Y77)</f>
        <v/>
      </c>
      <c r="L106" s="1275" t="str">
        <f>IF(基本情報入力シート!AB77="","",基本情報入力シート!AB77)</f>
        <v/>
      </c>
      <c r="M106" s="550" t="str">
        <f>IF('別紙様式2-2（４・５月分）'!P83="","",'別紙様式2-2（４・５月分）'!P83)</f>
        <v/>
      </c>
      <c r="N106" s="1391" t="str">
        <f>IF(SUM('別紙様式2-2（４・５月分）'!Q83:Q85)=0,"",SUM('別紙様式2-2（４・５月分）'!Q83:Q85))</f>
        <v/>
      </c>
      <c r="O106" s="1395" t="str">
        <f>IFERROR(VLOOKUP('別紙様式2-2（４・５月分）'!AQ83,【参考】数式用!$AR$5:$AS$22,2,FALSE),"")</f>
        <v/>
      </c>
      <c r="P106" s="1396"/>
      <c r="Q106" s="1397"/>
      <c r="R106" s="1401" t="str">
        <f>IFERROR(VLOOKUP(K106,【参考】数式用!$A$5:$AB$37,MATCH(O106,【参考】数式用!$B$4:$AB$4,0)+1,0),"")</f>
        <v/>
      </c>
      <c r="S106" s="1403" t="s">
        <v>2021</v>
      </c>
      <c r="T106" s="1405"/>
      <c r="U106" s="1407" t="str">
        <f>IFERROR(VLOOKUP(K106,【参考】数式用!$A$5:$AB$37,MATCH(T106,【参考】数式用!$B$4:$AB$4,0)+1,0),"")</f>
        <v/>
      </c>
      <c r="V106" s="1409" t="s">
        <v>15</v>
      </c>
      <c r="W106" s="1347">
        <v>6</v>
      </c>
      <c r="X106" s="1349" t="s">
        <v>10</v>
      </c>
      <c r="Y106" s="1347">
        <v>6</v>
      </c>
      <c r="Z106" s="1349" t="s">
        <v>38</v>
      </c>
      <c r="AA106" s="1347">
        <v>7</v>
      </c>
      <c r="AB106" s="1349" t="s">
        <v>10</v>
      </c>
      <c r="AC106" s="1347">
        <v>3</v>
      </c>
      <c r="AD106" s="1349" t="s">
        <v>13</v>
      </c>
      <c r="AE106" s="1349" t="s">
        <v>20</v>
      </c>
      <c r="AF106" s="1349">
        <f>IF(W106&gt;=1,(AA106*12+AC106)-(W106*12+Y106)+1,"")</f>
        <v>10</v>
      </c>
      <c r="AG106" s="1351" t="s">
        <v>33</v>
      </c>
      <c r="AH106" s="1353" t="str">
        <f t="shared" ref="AH106" si="245">IFERROR(ROUNDDOWN(ROUND(L106*U106,0),0)*AF106,"")</f>
        <v/>
      </c>
      <c r="AI106" s="1355" t="str">
        <f t="shared" ref="AI106" si="246">IFERROR(ROUNDDOWN(ROUND((L106*(U106-AW106)),0),0)*AF106,"")</f>
        <v/>
      </c>
      <c r="AJ106" s="1357">
        <f>IFERROR(IF(OR(M106="",M107="",M109=""),0,ROUNDDOWN(ROUNDDOWN(ROUND(L106*VLOOKUP(K106,【参考】数式用!$A$5:$AB$37,MATCH("新加算Ⅳ",【参考】数式用!$B$4:$AB$4,0)+1,0),0),0)*AF106*0.5,0)),"")</f>
        <v>0</v>
      </c>
      <c r="AK106" s="1341"/>
      <c r="AL106" s="1345">
        <f>IFERROR(IF(OR(M109="ベア加算",M109=""),0, IF(OR(T106="新加算Ⅰ",T106="新加算Ⅱ",T106="新加算Ⅲ",T106="新加算Ⅳ"),ROUNDDOWN(ROUND(L106*VLOOKUP(K106,【参考】数式用!$A$5:$I$37,MATCH("ベア加算",【参考】数式用!$B$4:$I$4,0)+1,0),0),0)*AF106,0)),"")</f>
        <v>0</v>
      </c>
      <c r="AM106" s="1331"/>
      <c r="AN106" s="1337"/>
      <c r="AO106" s="1333"/>
      <c r="AP106" s="1333"/>
      <c r="AQ106" s="1335"/>
      <c r="AR106" s="1315"/>
      <c r="AS106" s="465" t="str">
        <f t="shared" ref="AS106" si="247">IF(AU106="","",IF(U106&lt;N106,"！加算の要件上は問題ありませんが、令和６年４・５月と比較して令和６年６月に加算率が下がる計画になっています。",""))</f>
        <v/>
      </c>
      <c r="AT106" s="554"/>
      <c r="AU106" s="1303" t="str">
        <f>IF(K106&lt;&gt;"","V列に色付け","")</f>
        <v/>
      </c>
      <c r="AV106" s="555" t="str">
        <f>IF('別紙様式2-2（４・５月分）'!N83="","",'別紙様式2-2（４・５月分）'!N83)</f>
        <v/>
      </c>
      <c r="AW106" s="1305" t="str">
        <f>IF(SUM('別紙様式2-2（４・５月分）'!O83:O85)=0,"",SUM('別紙様式2-2（４・５月分）'!O83:O85))</f>
        <v/>
      </c>
      <c r="AX106" s="1306" t="str">
        <f>IFERROR(VLOOKUP(K106,【参考】数式用!$AH$2:$AI$34,2,FALSE),"")</f>
        <v/>
      </c>
      <c r="AY106" s="1222" t="s">
        <v>1959</v>
      </c>
      <c r="AZ106" s="1222" t="s">
        <v>1960</v>
      </c>
      <c r="BA106" s="1222" t="s">
        <v>1961</v>
      </c>
      <c r="BB106" s="1222" t="s">
        <v>1962</v>
      </c>
      <c r="BC106" s="1222" t="str">
        <f>IF(AND(O106&lt;&gt;"新加算Ⅰ",O106&lt;&gt;"新加算Ⅱ",O106&lt;&gt;"新加算Ⅲ",O106&lt;&gt;"新加算Ⅳ"),O106,IF(P108&lt;&gt;"",P108,""))</f>
        <v/>
      </c>
      <c r="BD106" s="1222"/>
      <c r="BE106" s="1222" t="str">
        <f t="shared" ref="BE106" si="248">IF(AL106&lt;&gt;0,IF(AM106="○","入力済","未入力"),"")</f>
        <v/>
      </c>
      <c r="BF106" s="1222"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2" t="str">
        <f>IF(OR(T106="新加算Ⅴ（７）",T106="新加算Ⅴ（９）",T106="新加算Ⅴ（10）",T106="新加算Ⅴ（12）",T106="新加算Ⅴ（13）",T106="新加算Ⅴ（14）"),IF(OR(AO106="○",AO106="令和６年度中に満たす"),"入力済","未入力"),"")</f>
        <v/>
      </c>
      <c r="BH106" s="1323" t="str">
        <f t="shared" ref="BH106" si="249">IF(OR(T106="新加算Ⅰ",T106="新加算Ⅱ",T106="新加算Ⅲ",T106="新加算Ⅴ（１）",T106="新加算Ⅴ（３）",T106="新加算Ⅴ（８）"),IF(OR(AP106="○",AP106="令和６年度中に満たす"),"入力済","未入力"),"")</f>
        <v/>
      </c>
      <c r="BI106" s="1325" t="str">
        <f t="shared" ref="BI106" si="250">IF(OR(T106="新加算Ⅰ",T106="新加算Ⅱ",T106="新加算Ⅴ（１）",T106="新加算Ⅴ（２）",T106="新加算Ⅴ（３）",T106="新加算Ⅴ（４）",T106="新加算Ⅴ（５）",T106="新加算Ⅴ（６）",T106="新加算Ⅴ（７）",T106="新加算Ⅴ（９）",T106="新加算Ⅴ（10）",T106="新加算Ⅴ（12）"),1,"")</f>
        <v/>
      </c>
      <c r="BJ106" s="1303" t="str">
        <f>IF(OR(T106="新加算Ⅰ",T106="新加算Ⅴ（１）",T106="新加算Ⅴ（２）",T106="新加算Ⅴ（５）",T106="新加算Ⅴ（７）",T106="新加算Ⅴ（10）"),IF(AR106="","未入力","入力済"),"")</f>
        <v/>
      </c>
      <c r="BK106" s="452" t="str">
        <f>G106</f>
        <v/>
      </c>
    </row>
    <row r="107" spans="1:63" ht="15" customHeight="1">
      <c r="A107" s="1267"/>
      <c r="B107" s="1235"/>
      <c r="C107" s="1236"/>
      <c r="D107" s="1236"/>
      <c r="E107" s="1236"/>
      <c r="F107" s="1237"/>
      <c r="G107" s="1252"/>
      <c r="H107" s="1252"/>
      <c r="I107" s="1252"/>
      <c r="J107" s="1415"/>
      <c r="K107" s="1252"/>
      <c r="L107" s="1276"/>
      <c r="M107" s="1371" t="str">
        <f>IF('別紙様式2-2（４・５月分）'!P84="","",'別紙様式2-2（４・５月分）'!P84)</f>
        <v/>
      </c>
      <c r="N107" s="1392"/>
      <c r="O107" s="1398"/>
      <c r="P107" s="1399"/>
      <c r="Q107" s="1400"/>
      <c r="R107" s="1402"/>
      <c r="S107" s="1404"/>
      <c r="T107" s="1406"/>
      <c r="U107" s="1408"/>
      <c r="V107" s="1410"/>
      <c r="W107" s="1348"/>
      <c r="X107" s="1350"/>
      <c r="Y107" s="1348"/>
      <c r="Z107" s="1350"/>
      <c r="AA107" s="1348"/>
      <c r="AB107" s="1350"/>
      <c r="AC107" s="1348"/>
      <c r="AD107" s="1350"/>
      <c r="AE107" s="1350"/>
      <c r="AF107" s="1350"/>
      <c r="AG107" s="1352"/>
      <c r="AH107" s="1354"/>
      <c r="AI107" s="1356"/>
      <c r="AJ107" s="1358"/>
      <c r="AK107" s="1342"/>
      <c r="AL107" s="1346"/>
      <c r="AM107" s="1332"/>
      <c r="AN107" s="1338"/>
      <c r="AO107" s="1334"/>
      <c r="AP107" s="1334"/>
      <c r="AQ107" s="1336"/>
      <c r="AR107" s="1316"/>
      <c r="AS107" s="1302"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4"/>
      <c r="AU107" s="1303"/>
      <c r="AV107" s="1304" t="str">
        <f>IF('別紙様式2-2（４・５月分）'!N84="","",'別紙様式2-2（４・５月分）'!N84)</f>
        <v/>
      </c>
      <c r="AW107" s="1305"/>
      <c r="AX107" s="1306"/>
      <c r="AY107" s="1222"/>
      <c r="AZ107" s="1222"/>
      <c r="BA107" s="1222"/>
      <c r="BB107" s="1222"/>
      <c r="BC107" s="1222"/>
      <c r="BD107" s="1222"/>
      <c r="BE107" s="1222"/>
      <c r="BF107" s="1222"/>
      <c r="BG107" s="1222"/>
      <c r="BH107" s="1324"/>
      <c r="BI107" s="1326"/>
      <c r="BJ107" s="1303"/>
      <c r="BK107" s="452" t="str">
        <f>G106</f>
        <v/>
      </c>
    </row>
    <row r="108" spans="1:63" ht="15" customHeight="1">
      <c r="A108" s="1295"/>
      <c r="B108" s="1235"/>
      <c r="C108" s="1236"/>
      <c r="D108" s="1236"/>
      <c r="E108" s="1236"/>
      <c r="F108" s="1237"/>
      <c r="G108" s="1252"/>
      <c r="H108" s="1252"/>
      <c r="I108" s="1252"/>
      <c r="J108" s="1415"/>
      <c r="K108" s="1252"/>
      <c r="L108" s="1276"/>
      <c r="M108" s="1372"/>
      <c r="N108" s="1393"/>
      <c r="O108" s="1373" t="s">
        <v>2025</v>
      </c>
      <c r="P108" s="1375" t="str">
        <f>IFERROR(VLOOKUP('別紙様式2-2（４・５月分）'!AQ83,【参考】数式用!$AR$5:$AT$22,3,FALSE),"")</f>
        <v/>
      </c>
      <c r="Q108" s="1377" t="s">
        <v>2036</v>
      </c>
      <c r="R108" s="1379" t="str">
        <f>IFERROR(VLOOKUP(K106,【参考】数式用!$A$5:$AB$37,MATCH(P108,【参考】数式用!$B$4:$AB$4,0)+1,0),"")</f>
        <v/>
      </c>
      <c r="S108" s="1381" t="s">
        <v>161</v>
      </c>
      <c r="T108" s="1383"/>
      <c r="U108" s="1385" t="str">
        <f>IFERROR(VLOOKUP(K106,【参考】数式用!$A$5:$AB$37,MATCH(T108,【参考】数式用!$B$4:$AB$4,0)+1,0),"")</f>
        <v/>
      </c>
      <c r="V108" s="1387" t="s">
        <v>15</v>
      </c>
      <c r="W108" s="1389">
        <v>7</v>
      </c>
      <c r="X108" s="1363" t="s">
        <v>10</v>
      </c>
      <c r="Y108" s="1389">
        <v>4</v>
      </c>
      <c r="Z108" s="1363" t="s">
        <v>38</v>
      </c>
      <c r="AA108" s="1389">
        <v>8</v>
      </c>
      <c r="AB108" s="1363" t="s">
        <v>10</v>
      </c>
      <c r="AC108" s="1389">
        <v>3</v>
      </c>
      <c r="AD108" s="1363" t="s">
        <v>13</v>
      </c>
      <c r="AE108" s="1363" t="s">
        <v>20</v>
      </c>
      <c r="AF108" s="1363">
        <f>IF(W108&gt;=1,(AA108*12+AC108)-(W108*12+Y108)+1,"")</f>
        <v>12</v>
      </c>
      <c r="AG108" s="1359" t="s">
        <v>33</v>
      </c>
      <c r="AH108" s="1365" t="str">
        <f t="shared" ref="AH108" si="252">IFERROR(ROUNDDOWN(ROUND(L106*U108,0),0)*AF108,"")</f>
        <v/>
      </c>
      <c r="AI108" s="1367" t="str">
        <f t="shared" ref="AI108" si="253">IFERROR(ROUNDDOWN(ROUND((L106*(U108-AW106)),0),0)*AF108,"")</f>
        <v/>
      </c>
      <c r="AJ108" s="1369">
        <f>IFERROR(IF(OR(M106="",M107="",M109=""),0,ROUNDDOWN(ROUNDDOWN(ROUND(L106*VLOOKUP(K106,【参考】数式用!$A$5:$AB$37,MATCH("新加算Ⅳ",【参考】数式用!$B$4:$AB$4,0)+1,0),0),0)*AF108*0.5,0)),"")</f>
        <v>0</v>
      </c>
      <c r="AK108" s="1339" t="str">
        <f t="shared" ref="AK108" si="254">IF(T108&lt;&gt;"","新規に適用","")</f>
        <v/>
      </c>
      <c r="AL108" s="1343">
        <f>IFERROR(IF(OR(M109="ベア加算",M109=""),0, IF(OR(T106="新加算Ⅰ",T106="新加算Ⅱ",T106="新加算Ⅲ",T106="新加算Ⅳ"),0,ROUNDDOWN(ROUND(L106*VLOOKUP(K106,【参考】数式用!$A$5:$I$37,MATCH("ベア加算",【参考】数式用!$B$4:$I$4,0)+1,0),0),0)*AF108)),"")</f>
        <v>0</v>
      </c>
      <c r="AM108" s="1313" t="str">
        <f>IF(AND(T108&lt;&gt;"",AM106=""),"新規に適用",IF(AND(T108&lt;&gt;"",AM106&lt;&gt;""),"継続で適用",""))</f>
        <v/>
      </c>
      <c r="AN108" s="1313" t="str">
        <f>IF(AND(T108&lt;&gt;"",AN106=""),"新規に適用",IF(AND(T108&lt;&gt;"",AN106&lt;&gt;""),"継続で適用",""))</f>
        <v/>
      </c>
      <c r="AO108" s="1361"/>
      <c r="AP108" s="1313" t="str">
        <f>IF(AND(T108&lt;&gt;"",AP106=""),"新規に適用",IF(AND(T108&lt;&gt;"",AP106&lt;&gt;""),"継続で適用",""))</f>
        <v/>
      </c>
      <c r="AQ108" s="1317" t="str">
        <f t="shared" si="243"/>
        <v/>
      </c>
      <c r="AR108" s="1313" t="str">
        <f>IF(AND(T108&lt;&gt;"",AR106=""),"新規に適用",IF(AND(T108&lt;&gt;"",AR106&lt;&gt;""),"継続で適用",""))</f>
        <v/>
      </c>
      <c r="AS108" s="1302"/>
      <c r="AT108" s="554"/>
      <c r="AU108" s="1303" t="str">
        <f>IF(K106&lt;&gt;"","V列に色付け","")</f>
        <v/>
      </c>
      <c r="AV108" s="1304"/>
      <c r="AW108" s="1305"/>
      <c r="AX108"/>
      <c r="AY108"/>
      <c r="AZ108"/>
      <c r="BA108"/>
      <c r="BB108"/>
      <c r="BC108"/>
      <c r="BD108"/>
      <c r="BE108"/>
      <c r="BF108"/>
      <c r="BG108"/>
      <c r="BH108"/>
      <c r="BI108"/>
      <c r="BJ108"/>
      <c r="BK108" s="452" t="str">
        <f>G106</f>
        <v/>
      </c>
    </row>
    <row r="109" spans="1:63" ht="30" customHeight="1" thickBot="1">
      <c r="A109" s="1268"/>
      <c r="B109" s="1411"/>
      <c r="C109" s="1412"/>
      <c r="D109" s="1412"/>
      <c r="E109" s="1412"/>
      <c r="F109" s="1413"/>
      <c r="G109" s="1253"/>
      <c r="H109" s="1253"/>
      <c r="I109" s="1253"/>
      <c r="J109" s="1416"/>
      <c r="K109" s="1253"/>
      <c r="L109" s="1277"/>
      <c r="M109" s="553" t="str">
        <f>IF('別紙様式2-2（４・５月分）'!P85="","",'別紙様式2-2（４・５月分）'!P85)</f>
        <v/>
      </c>
      <c r="N109" s="1394"/>
      <c r="O109" s="1374"/>
      <c r="P109" s="1376"/>
      <c r="Q109" s="1378"/>
      <c r="R109" s="1380"/>
      <c r="S109" s="1382"/>
      <c r="T109" s="1384"/>
      <c r="U109" s="1386"/>
      <c r="V109" s="1388"/>
      <c r="W109" s="1390"/>
      <c r="X109" s="1364"/>
      <c r="Y109" s="1390"/>
      <c r="Z109" s="1364"/>
      <c r="AA109" s="1390"/>
      <c r="AB109" s="1364"/>
      <c r="AC109" s="1390"/>
      <c r="AD109" s="1364"/>
      <c r="AE109" s="1364"/>
      <c r="AF109" s="1364"/>
      <c r="AG109" s="1360"/>
      <c r="AH109" s="1366"/>
      <c r="AI109" s="1368"/>
      <c r="AJ109" s="1370"/>
      <c r="AK109" s="1340"/>
      <c r="AL109" s="1344"/>
      <c r="AM109" s="1314"/>
      <c r="AN109" s="1314"/>
      <c r="AO109" s="1362"/>
      <c r="AP109" s="1314"/>
      <c r="AQ109" s="1318"/>
      <c r="AR109" s="1314"/>
      <c r="AS109" s="490"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4"/>
      <c r="AU109" s="1303"/>
      <c r="AV109" s="555" t="str">
        <f>IF('別紙様式2-2（４・５月分）'!N85="","",'別紙様式2-2（４・５月分）'!N85)</f>
        <v/>
      </c>
      <c r="AW109" s="1305"/>
      <c r="AX109"/>
      <c r="AY109"/>
      <c r="AZ109"/>
      <c r="BA109"/>
      <c r="BB109"/>
      <c r="BC109"/>
      <c r="BD109"/>
      <c r="BE109"/>
      <c r="BF109"/>
      <c r="BG109"/>
      <c r="BH109"/>
      <c r="BI109"/>
      <c r="BJ109"/>
      <c r="BK109" s="452" t="str">
        <f>G106</f>
        <v/>
      </c>
    </row>
    <row r="110" spans="1:63" ht="30" customHeight="1">
      <c r="A110" s="1266">
        <v>25</v>
      </c>
      <c r="B110" s="1235" t="str">
        <f>IF(基本情報入力シート!C78="","",基本情報入力シート!C78)</f>
        <v/>
      </c>
      <c r="C110" s="1236"/>
      <c r="D110" s="1236"/>
      <c r="E110" s="1236"/>
      <c r="F110" s="1237"/>
      <c r="G110" s="1252" t="str">
        <f>IF(基本情報入力シート!M78="","",基本情報入力シート!M78)</f>
        <v/>
      </c>
      <c r="H110" s="1252" t="str">
        <f>IF(基本情報入力シート!R78="","",基本情報入力シート!R78)</f>
        <v/>
      </c>
      <c r="I110" s="1252" t="str">
        <f>IF(基本情報入力シート!W78="","",基本情報入力シート!W78)</f>
        <v/>
      </c>
      <c r="J110" s="1415" t="str">
        <f>IF(基本情報入力シート!X78="","",基本情報入力シート!X78)</f>
        <v/>
      </c>
      <c r="K110" s="1252" t="str">
        <f>IF(基本情報入力シート!Y78="","",基本情報入力シート!Y78)</f>
        <v/>
      </c>
      <c r="L110" s="1276" t="str">
        <f>IF(基本情報入力シート!AB78="","",基本情報入力シート!AB78)</f>
        <v/>
      </c>
      <c r="M110" s="550" t="str">
        <f>IF('別紙様式2-2（４・５月分）'!P86="","",'別紙様式2-2（４・５月分）'!P86)</f>
        <v/>
      </c>
      <c r="N110" s="1391" t="str">
        <f>IF(SUM('別紙様式2-2（４・５月分）'!Q86:Q88)=0,"",SUM('別紙様式2-2（４・５月分）'!Q86:Q88))</f>
        <v/>
      </c>
      <c r="O110" s="1395" t="str">
        <f>IFERROR(VLOOKUP('別紙様式2-2（４・５月分）'!AQ86,【参考】数式用!$AR$5:$AS$22,2,FALSE),"")</f>
        <v/>
      </c>
      <c r="P110" s="1396"/>
      <c r="Q110" s="1397"/>
      <c r="R110" s="1401" t="str">
        <f>IFERROR(VLOOKUP(K110,【参考】数式用!$A$5:$AB$37,MATCH(O110,【参考】数式用!$B$4:$AB$4,0)+1,0),"")</f>
        <v/>
      </c>
      <c r="S110" s="1403" t="s">
        <v>2021</v>
      </c>
      <c r="T110" s="1405"/>
      <c r="U110" s="1407" t="str">
        <f>IFERROR(VLOOKUP(K110,【参考】数式用!$A$5:$AB$37,MATCH(T110,【参考】数式用!$B$4:$AB$4,0)+1,0),"")</f>
        <v/>
      </c>
      <c r="V110" s="1409" t="s">
        <v>15</v>
      </c>
      <c r="W110" s="1347">
        <v>6</v>
      </c>
      <c r="X110" s="1349" t="s">
        <v>10</v>
      </c>
      <c r="Y110" s="1347">
        <v>6</v>
      </c>
      <c r="Z110" s="1349" t="s">
        <v>38</v>
      </c>
      <c r="AA110" s="1347">
        <v>7</v>
      </c>
      <c r="AB110" s="1349" t="s">
        <v>10</v>
      </c>
      <c r="AC110" s="1347">
        <v>3</v>
      </c>
      <c r="AD110" s="1349" t="s">
        <v>13</v>
      </c>
      <c r="AE110" s="1349" t="s">
        <v>20</v>
      </c>
      <c r="AF110" s="1349">
        <f>IF(W110&gt;=1,(AA110*12+AC110)-(W110*12+Y110)+1,"")</f>
        <v>10</v>
      </c>
      <c r="AG110" s="1351" t="s">
        <v>33</v>
      </c>
      <c r="AH110" s="1353" t="str">
        <f t="shared" ref="AH110" si="256">IFERROR(ROUNDDOWN(ROUND(L110*U110,0),0)*AF110,"")</f>
        <v/>
      </c>
      <c r="AI110" s="1355" t="str">
        <f t="shared" ref="AI110" si="257">IFERROR(ROUNDDOWN(ROUND((L110*(U110-AW110)),0),0)*AF110,"")</f>
        <v/>
      </c>
      <c r="AJ110" s="1357">
        <f>IFERROR(IF(OR(M110="",M111="",M113=""),0,ROUNDDOWN(ROUNDDOWN(ROUND(L110*VLOOKUP(K110,【参考】数式用!$A$5:$AB$37,MATCH("新加算Ⅳ",【参考】数式用!$B$4:$AB$4,0)+1,0),0),0)*AF110*0.5,0)),"")</f>
        <v>0</v>
      </c>
      <c r="AK110" s="1341"/>
      <c r="AL110" s="1345">
        <f>IFERROR(IF(OR(M113="ベア加算",M113=""),0, IF(OR(T110="新加算Ⅰ",T110="新加算Ⅱ",T110="新加算Ⅲ",T110="新加算Ⅳ"),ROUNDDOWN(ROUND(L110*VLOOKUP(K110,【参考】数式用!$A$5:$I$37,MATCH("ベア加算",【参考】数式用!$B$4:$I$4,0)+1,0),0),0)*AF110,0)),"")</f>
        <v>0</v>
      </c>
      <c r="AM110" s="1331"/>
      <c r="AN110" s="1337"/>
      <c r="AO110" s="1333"/>
      <c r="AP110" s="1333"/>
      <c r="AQ110" s="1335"/>
      <c r="AR110" s="1315"/>
      <c r="AS110" s="465" t="str">
        <f t="shared" ref="AS110" si="258">IF(AU110="","",IF(U110&lt;N110,"！加算の要件上は問題ありませんが、令和６年４・５月と比較して令和６年６月に加算率が下がる計画になっています。",""))</f>
        <v/>
      </c>
      <c r="AT110" s="554"/>
      <c r="AU110" s="1303" t="str">
        <f>IF(K110&lt;&gt;"","V列に色付け","")</f>
        <v/>
      </c>
      <c r="AV110" s="555" t="str">
        <f>IF('別紙様式2-2（４・５月分）'!N86="","",'別紙様式2-2（４・５月分）'!N86)</f>
        <v/>
      </c>
      <c r="AW110" s="1305" t="str">
        <f>IF(SUM('別紙様式2-2（４・５月分）'!O86:O88)=0,"",SUM('別紙様式2-2（４・５月分）'!O86:O88))</f>
        <v/>
      </c>
      <c r="AX110" s="1306" t="str">
        <f>IFERROR(VLOOKUP(K110,【参考】数式用!$AH$2:$AI$34,2,FALSE),"")</f>
        <v/>
      </c>
      <c r="AY110" s="1222" t="s">
        <v>1959</v>
      </c>
      <c r="AZ110" s="1222" t="s">
        <v>1960</v>
      </c>
      <c r="BA110" s="1222" t="s">
        <v>1961</v>
      </c>
      <c r="BB110" s="1222" t="s">
        <v>1962</v>
      </c>
      <c r="BC110" s="1222" t="str">
        <f>IF(AND(O110&lt;&gt;"新加算Ⅰ",O110&lt;&gt;"新加算Ⅱ",O110&lt;&gt;"新加算Ⅲ",O110&lt;&gt;"新加算Ⅳ"),O110,IF(P112&lt;&gt;"",P112,""))</f>
        <v/>
      </c>
      <c r="BD110" s="1222"/>
      <c r="BE110" s="1222" t="str">
        <f t="shared" ref="BE110" si="259">IF(AL110&lt;&gt;0,IF(AM110="○","入力済","未入力"),"")</f>
        <v/>
      </c>
      <c r="BF110" s="1222"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2" t="str">
        <f>IF(OR(T110="新加算Ⅴ（７）",T110="新加算Ⅴ（９）",T110="新加算Ⅴ（10）",T110="新加算Ⅴ（12）",T110="新加算Ⅴ（13）",T110="新加算Ⅴ（14）"),IF(OR(AO110="○",AO110="令和６年度中に満たす"),"入力済","未入力"),"")</f>
        <v/>
      </c>
      <c r="BH110" s="1323" t="str">
        <f t="shared" ref="BH110" si="260">IF(OR(T110="新加算Ⅰ",T110="新加算Ⅱ",T110="新加算Ⅲ",T110="新加算Ⅴ（１）",T110="新加算Ⅴ（３）",T110="新加算Ⅴ（８）"),IF(OR(AP110="○",AP110="令和６年度中に満たす"),"入力済","未入力"),"")</f>
        <v/>
      </c>
      <c r="BI110" s="1325" t="str">
        <f t="shared" ref="BI110" si="261">IF(OR(T110="新加算Ⅰ",T110="新加算Ⅱ",T110="新加算Ⅴ（１）",T110="新加算Ⅴ（２）",T110="新加算Ⅴ（３）",T110="新加算Ⅴ（４）",T110="新加算Ⅴ（５）",T110="新加算Ⅴ（６）",T110="新加算Ⅴ（７）",T110="新加算Ⅴ（９）",T110="新加算Ⅴ（10）",T110="新加算Ⅴ（12）"),1,"")</f>
        <v/>
      </c>
      <c r="BJ110" s="1303" t="str">
        <f>IF(OR(T110="新加算Ⅰ",T110="新加算Ⅴ（１）",T110="新加算Ⅴ（２）",T110="新加算Ⅴ（５）",T110="新加算Ⅴ（７）",T110="新加算Ⅴ（10）"),IF(AR110="","未入力","入力済"),"")</f>
        <v/>
      </c>
      <c r="BK110" s="452" t="str">
        <f>G110</f>
        <v/>
      </c>
    </row>
    <row r="111" spans="1:63" ht="15" customHeight="1">
      <c r="A111" s="1267"/>
      <c r="B111" s="1235"/>
      <c r="C111" s="1236"/>
      <c r="D111" s="1236"/>
      <c r="E111" s="1236"/>
      <c r="F111" s="1237"/>
      <c r="G111" s="1252"/>
      <c r="H111" s="1252"/>
      <c r="I111" s="1252"/>
      <c r="J111" s="1415"/>
      <c r="K111" s="1252"/>
      <c r="L111" s="1276"/>
      <c r="M111" s="1371" t="str">
        <f>IF('別紙様式2-2（４・５月分）'!P87="","",'別紙様式2-2（４・５月分）'!P87)</f>
        <v/>
      </c>
      <c r="N111" s="1392"/>
      <c r="O111" s="1398"/>
      <c r="P111" s="1399"/>
      <c r="Q111" s="1400"/>
      <c r="R111" s="1402"/>
      <c r="S111" s="1404"/>
      <c r="T111" s="1406"/>
      <c r="U111" s="1408"/>
      <c r="V111" s="1410"/>
      <c r="W111" s="1348"/>
      <c r="X111" s="1350"/>
      <c r="Y111" s="1348"/>
      <c r="Z111" s="1350"/>
      <c r="AA111" s="1348"/>
      <c r="AB111" s="1350"/>
      <c r="AC111" s="1348"/>
      <c r="AD111" s="1350"/>
      <c r="AE111" s="1350"/>
      <c r="AF111" s="1350"/>
      <c r="AG111" s="1352"/>
      <c r="AH111" s="1354"/>
      <c r="AI111" s="1356"/>
      <c r="AJ111" s="1358"/>
      <c r="AK111" s="1342"/>
      <c r="AL111" s="1346"/>
      <c r="AM111" s="1332"/>
      <c r="AN111" s="1338"/>
      <c r="AO111" s="1334"/>
      <c r="AP111" s="1334"/>
      <c r="AQ111" s="1336"/>
      <c r="AR111" s="1316"/>
      <c r="AS111" s="1302"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4"/>
      <c r="AU111" s="1303"/>
      <c r="AV111" s="1304" t="str">
        <f>IF('別紙様式2-2（４・５月分）'!N87="","",'別紙様式2-2（４・５月分）'!N87)</f>
        <v/>
      </c>
      <c r="AW111" s="1305"/>
      <c r="AX111" s="1306"/>
      <c r="AY111" s="1222"/>
      <c r="AZ111" s="1222"/>
      <c r="BA111" s="1222"/>
      <c r="BB111" s="1222"/>
      <c r="BC111" s="1222"/>
      <c r="BD111" s="1222"/>
      <c r="BE111" s="1222"/>
      <c r="BF111" s="1222"/>
      <c r="BG111" s="1222"/>
      <c r="BH111" s="1324"/>
      <c r="BI111" s="1326"/>
      <c r="BJ111" s="1303"/>
      <c r="BK111" s="452" t="str">
        <f>G110</f>
        <v/>
      </c>
    </row>
    <row r="112" spans="1:63" ht="15" customHeight="1">
      <c r="A112" s="1295"/>
      <c r="B112" s="1235"/>
      <c r="C112" s="1236"/>
      <c r="D112" s="1236"/>
      <c r="E112" s="1236"/>
      <c r="F112" s="1237"/>
      <c r="G112" s="1252"/>
      <c r="H112" s="1252"/>
      <c r="I112" s="1252"/>
      <c r="J112" s="1415"/>
      <c r="K112" s="1252"/>
      <c r="L112" s="1276"/>
      <c r="M112" s="1372"/>
      <c r="N112" s="1393"/>
      <c r="O112" s="1373" t="s">
        <v>2025</v>
      </c>
      <c r="P112" s="1375" t="str">
        <f>IFERROR(VLOOKUP('別紙様式2-2（４・５月分）'!AQ86,【参考】数式用!$AR$5:$AT$22,3,FALSE),"")</f>
        <v/>
      </c>
      <c r="Q112" s="1377" t="s">
        <v>2036</v>
      </c>
      <c r="R112" s="1379" t="str">
        <f>IFERROR(VLOOKUP(K110,【参考】数式用!$A$5:$AB$37,MATCH(P112,【参考】数式用!$B$4:$AB$4,0)+1,0),"")</f>
        <v/>
      </c>
      <c r="S112" s="1381" t="s">
        <v>161</v>
      </c>
      <c r="T112" s="1383"/>
      <c r="U112" s="1385" t="str">
        <f>IFERROR(VLOOKUP(K110,【参考】数式用!$A$5:$AB$37,MATCH(T112,【参考】数式用!$B$4:$AB$4,0)+1,0),"")</f>
        <v/>
      </c>
      <c r="V112" s="1387" t="s">
        <v>15</v>
      </c>
      <c r="W112" s="1389">
        <v>7</v>
      </c>
      <c r="X112" s="1363" t="s">
        <v>10</v>
      </c>
      <c r="Y112" s="1389">
        <v>4</v>
      </c>
      <c r="Z112" s="1363" t="s">
        <v>38</v>
      </c>
      <c r="AA112" s="1389">
        <v>8</v>
      </c>
      <c r="AB112" s="1363" t="s">
        <v>10</v>
      </c>
      <c r="AC112" s="1389">
        <v>3</v>
      </c>
      <c r="AD112" s="1363" t="s">
        <v>13</v>
      </c>
      <c r="AE112" s="1363" t="s">
        <v>20</v>
      </c>
      <c r="AF112" s="1363">
        <f>IF(W112&gt;=1,(AA112*12+AC112)-(W112*12+Y112)+1,"")</f>
        <v>12</v>
      </c>
      <c r="AG112" s="1359" t="s">
        <v>33</v>
      </c>
      <c r="AH112" s="1365" t="str">
        <f t="shared" ref="AH112" si="263">IFERROR(ROUNDDOWN(ROUND(L110*U112,0),0)*AF112,"")</f>
        <v/>
      </c>
      <c r="AI112" s="1367" t="str">
        <f t="shared" ref="AI112" si="264">IFERROR(ROUNDDOWN(ROUND((L110*(U112-AW110)),0),0)*AF112,"")</f>
        <v/>
      </c>
      <c r="AJ112" s="1369">
        <f>IFERROR(IF(OR(M110="",M111="",M113=""),0,ROUNDDOWN(ROUNDDOWN(ROUND(L110*VLOOKUP(K110,【参考】数式用!$A$5:$AB$37,MATCH("新加算Ⅳ",【参考】数式用!$B$4:$AB$4,0)+1,0),0),0)*AF112*0.5,0)),"")</f>
        <v>0</v>
      </c>
      <c r="AK112" s="1339" t="str">
        <f t="shared" ref="AK112" si="265">IF(T112&lt;&gt;"","新規に適用","")</f>
        <v/>
      </c>
      <c r="AL112" s="1343">
        <f>IFERROR(IF(OR(M113="ベア加算",M113=""),0, IF(OR(T110="新加算Ⅰ",T110="新加算Ⅱ",T110="新加算Ⅲ",T110="新加算Ⅳ"),0,ROUNDDOWN(ROUND(L110*VLOOKUP(K110,【参考】数式用!$A$5:$I$37,MATCH("ベア加算",【参考】数式用!$B$4:$I$4,0)+1,0),0),0)*AF112)),"")</f>
        <v>0</v>
      </c>
      <c r="AM112" s="1313" t="str">
        <f>IF(AND(T112&lt;&gt;"",AM110=""),"新規に適用",IF(AND(T112&lt;&gt;"",AM110&lt;&gt;""),"継続で適用",""))</f>
        <v/>
      </c>
      <c r="AN112" s="1313" t="str">
        <f>IF(AND(T112&lt;&gt;"",AN110=""),"新規に適用",IF(AND(T112&lt;&gt;"",AN110&lt;&gt;""),"継続で適用",""))</f>
        <v/>
      </c>
      <c r="AO112" s="1361"/>
      <c r="AP112" s="1313" t="str">
        <f>IF(AND(T112&lt;&gt;"",AP110=""),"新規に適用",IF(AND(T112&lt;&gt;"",AP110&lt;&gt;""),"継続で適用",""))</f>
        <v/>
      </c>
      <c r="AQ112" s="1317" t="str">
        <f t="shared" si="243"/>
        <v/>
      </c>
      <c r="AR112" s="1313" t="str">
        <f>IF(AND(T112&lt;&gt;"",AR110=""),"新規に適用",IF(AND(T112&lt;&gt;"",AR110&lt;&gt;""),"継続で適用",""))</f>
        <v/>
      </c>
      <c r="AS112" s="1302"/>
      <c r="AT112" s="554"/>
      <c r="AU112" s="1303" t="str">
        <f>IF(K110&lt;&gt;"","V列に色付け","")</f>
        <v/>
      </c>
      <c r="AV112" s="1304"/>
      <c r="AW112" s="1305"/>
      <c r="AX112"/>
      <c r="AY112"/>
      <c r="AZ112"/>
      <c r="BA112"/>
      <c r="BB112"/>
      <c r="BC112"/>
      <c r="BD112"/>
      <c r="BE112"/>
      <c r="BF112"/>
      <c r="BG112"/>
      <c r="BH112"/>
      <c r="BI112"/>
      <c r="BJ112"/>
      <c r="BK112" s="452" t="str">
        <f>G110</f>
        <v/>
      </c>
    </row>
    <row r="113" spans="1:63" ht="30" customHeight="1" thickBot="1">
      <c r="A113" s="1268"/>
      <c r="B113" s="1411"/>
      <c r="C113" s="1412"/>
      <c r="D113" s="1412"/>
      <c r="E113" s="1412"/>
      <c r="F113" s="1413"/>
      <c r="G113" s="1253"/>
      <c r="H113" s="1253"/>
      <c r="I113" s="1253"/>
      <c r="J113" s="1416"/>
      <c r="K113" s="1253"/>
      <c r="L113" s="1277"/>
      <c r="M113" s="553" t="str">
        <f>IF('別紙様式2-2（４・５月分）'!P88="","",'別紙様式2-2（４・５月分）'!P88)</f>
        <v/>
      </c>
      <c r="N113" s="1394"/>
      <c r="O113" s="1374"/>
      <c r="P113" s="1376"/>
      <c r="Q113" s="1378"/>
      <c r="R113" s="1380"/>
      <c r="S113" s="1382"/>
      <c r="T113" s="1384"/>
      <c r="U113" s="1386"/>
      <c r="V113" s="1388"/>
      <c r="W113" s="1390"/>
      <c r="X113" s="1364"/>
      <c r="Y113" s="1390"/>
      <c r="Z113" s="1364"/>
      <c r="AA113" s="1390"/>
      <c r="AB113" s="1364"/>
      <c r="AC113" s="1390"/>
      <c r="AD113" s="1364"/>
      <c r="AE113" s="1364"/>
      <c r="AF113" s="1364"/>
      <c r="AG113" s="1360"/>
      <c r="AH113" s="1366"/>
      <c r="AI113" s="1368"/>
      <c r="AJ113" s="1370"/>
      <c r="AK113" s="1340"/>
      <c r="AL113" s="1344"/>
      <c r="AM113" s="1314"/>
      <c r="AN113" s="1314"/>
      <c r="AO113" s="1362"/>
      <c r="AP113" s="1314"/>
      <c r="AQ113" s="1318"/>
      <c r="AR113" s="1314"/>
      <c r="AS113" s="490"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4"/>
      <c r="AU113" s="1303"/>
      <c r="AV113" s="555" t="str">
        <f>IF('別紙様式2-2（４・５月分）'!N88="","",'別紙様式2-2（４・５月分）'!N88)</f>
        <v/>
      </c>
      <c r="AW113" s="1305"/>
      <c r="AX113"/>
      <c r="AY113"/>
      <c r="AZ113"/>
      <c r="BA113"/>
      <c r="BB113"/>
      <c r="BC113"/>
      <c r="BD113"/>
      <c r="BE113"/>
      <c r="BF113"/>
      <c r="BG113"/>
      <c r="BH113"/>
      <c r="BI113"/>
      <c r="BJ113"/>
      <c r="BK113" s="452" t="str">
        <f>G110</f>
        <v/>
      </c>
    </row>
    <row r="114" spans="1:63" ht="30" customHeight="1">
      <c r="A114" s="1293">
        <v>26</v>
      </c>
      <c r="B114" s="1232" t="str">
        <f>IF(基本情報入力シート!C79="","",基本情報入力シート!C79)</f>
        <v/>
      </c>
      <c r="C114" s="1233"/>
      <c r="D114" s="1233"/>
      <c r="E114" s="1233"/>
      <c r="F114" s="1234"/>
      <c r="G114" s="1251" t="str">
        <f>IF(基本情報入力シート!M79="","",基本情報入力シート!M79)</f>
        <v/>
      </c>
      <c r="H114" s="1251" t="str">
        <f>IF(基本情報入力シート!R79="","",基本情報入力シート!R79)</f>
        <v/>
      </c>
      <c r="I114" s="1251" t="str">
        <f>IF(基本情報入力シート!W79="","",基本情報入力シート!W79)</f>
        <v/>
      </c>
      <c r="J114" s="1414" t="str">
        <f>IF(基本情報入力シート!X79="","",基本情報入力シート!X79)</f>
        <v/>
      </c>
      <c r="K114" s="1251" t="str">
        <f>IF(基本情報入力シート!Y79="","",基本情報入力シート!Y79)</f>
        <v/>
      </c>
      <c r="L114" s="1275" t="str">
        <f>IF(基本情報入力シート!AB79="","",基本情報入力シート!AB79)</f>
        <v/>
      </c>
      <c r="M114" s="550" t="str">
        <f>IF('別紙様式2-2（４・５月分）'!P89="","",'別紙様式2-2（４・５月分）'!P89)</f>
        <v/>
      </c>
      <c r="N114" s="1391" t="str">
        <f>IF(SUM('別紙様式2-2（４・５月分）'!Q89:Q91)=0,"",SUM('別紙様式2-2（４・５月分）'!Q89:Q91))</f>
        <v/>
      </c>
      <c r="O114" s="1395" t="str">
        <f>IFERROR(VLOOKUP('別紙様式2-2（４・５月分）'!AQ89,【参考】数式用!$AR$5:$AS$22,2,FALSE),"")</f>
        <v/>
      </c>
      <c r="P114" s="1396"/>
      <c r="Q114" s="1397"/>
      <c r="R114" s="1401" t="str">
        <f>IFERROR(VLOOKUP(K114,【参考】数式用!$A$5:$AB$37,MATCH(O114,【参考】数式用!$B$4:$AB$4,0)+1,0),"")</f>
        <v/>
      </c>
      <c r="S114" s="1403" t="s">
        <v>2021</v>
      </c>
      <c r="T114" s="1405"/>
      <c r="U114" s="1407" t="str">
        <f>IFERROR(VLOOKUP(K114,【参考】数式用!$A$5:$AB$37,MATCH(T114,【参考】数式用!$B$4:$AB$4,0)+1,0),"")</f>
        <v/>
      </c>
      <c r="V114" s="1409" t="s">
        <v>15</v>
      </c>
      <c r="W114" s="1347">
        <v>6</v>
      </c>
      <c r="X114" s="1349" t="s">
        <v>10</v>
      </c>
      <c r="Y114" s="1347">
        <v>6</v>
      </c>
      <c r="Z114" s="1349" t="s">
        <v>38</v>
      </c>
      <c r="AA114" s="1347">
        <v>7</v>
      </c>
      <c r="AB114" s="1349" t="s">
        <v>10</v>
      </c>
      <c r="AC114" s="1347">
        <v>3</v>
      </c>
      <c r="AD114" s="1349" t="s">
        <v>13</v>
      </c>
      <c r="AE114" s="1349" t="s">
        <v>20</v>
      </c>
      <c r="AF114" s="1349">
        <f>IF(W114&gt;=1,(AA114*12+AC114)-(W114*12+Y114)+1,"")</f>
        <v>10</v>
      </c>
      <c r="AG114" s="1351" t="s">
        <v>33</v>
      </c>
      <c r="AH114" s="1353" t="str">
        <f t="shared" ref="AH114" si="267">IFERROR(ROUNDDOWN(ROUND(L114*U114,0),0)*AF114,"")</f>
        <v/>
      </c>
      <c r="AI114" s="1355" t="str">
        <f t="shared" ref="AI114" si="268">IFERROR(ROUNDDOWN(ROUND((L114*(U114-AW114)),0),0)*AF114,"")</f>
        <v/>
      </c>
      <c r="AJ114" s="1357">
        <f>IFERROR(IF(OR(M114="",M115="",M117=""),0,ROUNDDOWN(ROUNDDOWN(ROUND(L114*VLOOKUP(K114,【参考】数式用!$A$5:$AB$37,MATCH("新加算Ⅳ",【参考】数式用!$B$4:$AB$4,0)+1,0),0),0)*AF114*0.5,0)),"")</f>
        <v>0</v>
      </c>
      <c r="AK114" s="1341"/>
      <c r="AL114" s="1345">
        <f>IFERROR(IF(OR(M117="ベア加算",M117=""),0, IF(OR(T114="新加算Ⅰ",T114="新加算Ⅱ",T114="新加算Ⅲ",T114="新加算Ⅳ"),ROUNDDOWN(ROUND(L114*VLOOKUP(K114,【参考】数式用!$A$5:$I$37,MATCH("ベア加算",【参考】数式用!$B$4:$I$4,0)+1,0),0),0)*AF114,0)),"")</f>
        <v>0</v>
      </c>
      <c r="AM114" s="1331"/>
      <c r="AN114" s="1337"/>
      <c r="AO114" s="1333"/>
      <c r="AP114" s="1333"/>
      <c r="AQ114" s="1335"/>
      <c r="AR114" s="1315"/>
      <c r="AS114" s="465" t="str">
        <f t="shared" ref="AS114" si="269">IF(AU114="","",IF(U114&lt;N114,"！加算の要件上は問題ありませんが、令和６年４・５月と比較して令和６年６月に加算率が下がる計画になっています。",""))</f>
        <v/>
      </c>
      <c r="AT114" s="554"/>
      <c r="AU114" s="1303" t="str">
        <f>IF(K114&lt;&gt;"","V列に色付け","")</f>
        <v/>
      </c>
      <c r="AV114" s="555" t="str">
        <f>IF('別紙様式2-2（４・５月分）'!N89="","",'別紙様式2-2（４・５月分）'!N89)</f>
        <v/>
      </c>
      <c r="AW114" s="1305" t="str">
        <f>IF(SUM('別紙様式2-2（４・５月分）'!O89:O91)=0,"",SUM('別紙様式2-2（４・５月分）'!O89:O91))</f>
        <v/>
      </c>
      <c r="AX114" s="1306" t="str">
        <f>IFERROR(VLOOKUP(K114,【参考】数式用!$AH$2:$AI$34,2,FALSE),"")</f>
        <v/>
      </c>
      <c r="AY114" s="1222" t="s">
        <v>1959</v>
      </c>
      <c r="AZ114" s="1222" t="s">
        <v>1960</v>
      </c>
      <c r="BA114" s="1222" t="s">
        <v>1961</v>
      </c>
      <c r="BB114" s="1222" t="s">
        <v>1962</v>
      </c>
      <c r="BC114" s="1222" t="str">
        <f>IF(AND(O114&lt;&gt;"新加算Ⅰ",O114&lt;&gt;"新加算Ⅱ",O114&lt;&gt;"新加算Ⅲ",O114&lt;&gt;"新加算Ⅳ"),O114,IF(P116&lt;&gt;"",P116,""))</f>
        <v/>
      </c>
      <c r="BD114" s="1222"/>
      <c r="BE114" s="1222" t="str">
        <f t="shared" ref="BE114" si="270">IF(AL114&lt;&gt;0,IF(AM114="○","入力済","未入力"),"")</f>
        <v/>
      </c>
      <c r="BF114" s="1222"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2" t="str">
        <f>IF(OR(T114="新加算Ⅴ（７）",T114="新加算Ⅴ（９）",T114="新加算Ⅴ（10）",T114="新加算Ⅴ（12）",T114="新加算Ⅴ（13）",T114="新加算Ⅴ（14）"),IF(OR(AO114="○",AO114="令和６年度中に満たす"),"入力済","未入力"),"")</f>
        <v/>
      </c>
      <c r="BH114" s="1323" t="str">
        <f t="shared" ref="BH114" si="271">IF(OR(T114="新加算Ⅰ",T114="新加算Ⅱ",T114="新加算Ⅲ",T114="新加算Ⅴ（１）",T114="新加算Ⅴ（３）",T114="新加算Ⅴ（８）"),IF(OR(AP114="○",AP114="令和６年度中に満たす"),"入力済","未入力"),"")</f>
        <v/>
      </c>
      <c r="BI114" s="1325" t="str">
        <f t="shared" ref="BI114" si="272">IF(OR(T114="新加算Ⅰ",T114="新加算Ⅱ",T114="新加算Ⅴ（１）",T114="新加算Ⅴ（２）",T114="新加算Ⅴ（３）",T114="新加算Ⅴ（４）",T114="新加算Ⅴ（５）",T114="新加算Ⅴ（６）",T114="新加算Ⅴ（７）",T114="新加算Ⅴ（９）",T114="新加算Ⅴ（10）",T114="新加算Ⅴ（12）"),1,"")</f>
        <v/>
      </c>
      <c r="BJ114" s="1303" t="str">
        <f>IF(OR(T114="新加算Ⅰ",T114="新加算Ⅴ（１）",T114="新加算Ⅴ（２）",T114="新加算Ⅴ（５）",T114="新加算Ⅴ（７）",T114="新加算Ⅴ（10）"),IF(AR114="","未入力","入力済"),"")</f>
        <v/>
      </c>
      <c r="BK114" s="452" t="str">
        <f>G114</f>
        <v/>
      </c>
    </row>
    <row r="115" spans="1:63" ht="15" customHeight="1">
      <c r="A115" s="1267"/>
      <c r="B115" s="1235"/>
      <c r="C115" s="1236"/>
      <c r="D115" s="1236"/>
      <c r="E115" s="1236"/>
      <c r="F115" s="1237"/>
      <c r="G115" s="1252"/>
      <c r="H115" s="1252"/>
      <c r="I115" s="1252"/>
      <c r="J115" s="1415"/>
      <c r="K115" s="1252"/>
      <c r="L115" s="1276"/>
      <c r="M115" s="1371" t="str">
        <f>IF('別紙様式2-2（４・５月分）'!P90="","",'別紙様式2-2（４・５月分）'!P90)</f>
        <v/>
      </c>
      <c r="N115" s="1392"/>
      <c r="O115" s="1398"/>
      <c r="P115" s="1399"/>
      <c r="Q115" s="1400"/>
      <c r="R115" s="1402"/>
      <c r="S115" s="1404"/>
      <c r="T115" s="1406"/>
      <c r="U115" s="1408"/>
      <c r="V115" s="1410"/>
      <c r="W115" s="1348"/>
      <c r="X115" s="1350"/>
      <c r="Y115" s="1348"/>
      <c r="Z115" s="1350"/>
      <c r="AA115" s="1348"/>
      <c r="AB115" s="1350"/>
      <c r="AC115" s="1348"/>
      <c r="AD115" s="1350"/>
      <c r="AE115" s="1350"/>
      <c r="AF115" s="1350"/>
      <c r="AG115" s="1352"/>
      <c r="AH115" s="1354"/>
      <c r="AI115" s="1356"/>
      <c r="AJ115" s="1358"/>
      <c r="AK115" s="1342"/>
      <c r="AL115" s="1346"/>
      <c r="AM115" s="1332"/>
      <c r="AN115" s="1338"/>
      <c r="AO115" s="1334"/>
      <c r="AP115" s="1334"/>
      <c r="AQ115" s="1336"/>
      <c r="AR115" s="1316"/>
      <c r="AS115" s="1302"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4"/>
      <c r="AU115" s="1303"/>
      <c r="AV115" s="1304" t="str">
        <f>IF('別紙様式2-2（４・５月分）'!N90="","",'別紙様式2-2（４・５月分）'!N90)</f>
        <v/>
      </c>
      <c r="AW115" s="1305"/>
      <c r="AX115" s="1306"/>
      <c r="AY115" s="1222"/>
      <c r="AZ115" s="1222"/>
      <c r="BA115" s="1222"/>
      <c r="BB115" s="1222"/>
      <c r="BC115" s="1222"/>
      <c r="BD115" s="1222"/>
      <c r="BE115" s="1222"/>
      <c r="BF115" s="1222"/>
      <c r="BG115" s="1222"/>
      <c r="BH115" s="1324"/>
      <c r="BI115" s="1326"/>
      <c r="BJ115" s="1303"/>
      <c r="BK115" s="452" t="str">
        <f>G114</f>
        <v/>
      </c>
    </row>
    <row r="116" spans="1:63" ht="15" customHeight="1">
      <c r="A116" s="1295"/>
      <c r="B116" s="1235"/>
      <c r="C116" s="1236"/>
      <c r="D116" s="1236"/>
      <c r="E116" s="1236"/>
      <c r="F116" s="1237"/>
      <c r="G116" s="1252"/>
      <c r="H116" s="1252"/>
      <c r="I116" s="1252"/>
      <c r="J116" s="1415"/>
      <c r="K116" s="1252"/>
      <c r="L116" s="1276"/>
      <c r="M116" s="1372"/>
      <c r="N116" s="1393"/>
      <c r="O116" s="1373" t="s">
        <v>2025</v>
      </c>
      <c r="P116" s="1375" t="str">
        <f>IFERROR(VLOOKUP('別紙様式2-2（４・５月分）'!AQ89,【参考】数式用!$AR$5:$AT$22,3,FALSE),"")</f>
        <v/>
      </c>
      <c r="Q116" s="1377" t="s">
        <v>2036</v>
      </c>
      <c r="R116" s="1379" t="str">
        <f>IFERROR(VLOOKUP(K114,【参考】数式用!$A$5:$AB$37,MATCH(P116,【参考】数式用!$B$4:$AB$4,0)+1,0),"")</f>
        <v/>
      </c>
      <c r="S116" s="1381" t="s">
        <v>161</v>
      </c>
      <c r="T116" s="1383"/>
      <c r="U116" s="1385" t="str">
        <f>IFERROR(VLOOKUP(K114,【参考】数式用!$A$5:$AB$37,MATCH(T116,【参考】数式用!$B$4:$AB$4,0)+1,0),"")</f>
        <v/>
      </c>
      <c r="V116" s="1387" t="s">
        <v>15</v>
      </c>
      <c r="W116" s="1389">
        <v>7</v>
      </c>
      <c r="X116" s="1363" t="s">
        <v>10</v>
      </c>
      <c r="Y116" s="1389">
        <v>4</v>
      </c>
      <c r="Z116" s="1363" t="s">
        <v>38</v>
      </c>
      <c r="AA116" s="1389">
        <v>8</v>
      </c>
      <c r="AB116" s="1363" t="s">
        <v>10</v>
      </c>
      <c r="AC116" s="1389">
        <v>3</v>
      </c>
      <c r="AD116" s="1363" t="s">
        <v>13</v>
      </c>
      <c r="AE116" s="1363" t="s">
        <v>20</v>
      </c>
      <c r="AF116" s="1363">
        <f>IF(W116&gt;=1,(AA116*12+AC116)-(W116*12+Y116)+1,"")</f>
        <v>12</v>
      </c>
      <c r="AG116" s="1359" t="s">
        <v>33</v>
      </c>
      <c r="AH116" s="1365" t="str">
        <f t="shared" ref="AH116" si="274">IFERROR(ROUNDDOWN(ROUND(L114*U116,0),0)*AF116,"")</f>
        <v/>
      </c>
      <c r="AI116" s="1367" t="str">
        <f t="shared" ref="AI116" si="275">IFERROR(ROUNDDOWN(ROUND((L114*(U116-AW114)),0),0)*AF116,"")</f>
        <v/>
      </c>
      <c r="AJ116" s="1369">
        <f>IFERROR(IF(OR(M114="",M115="",M117=""),0,ROUNDDOWN(ROUNDDOWN(ROUND(L114*VLOOKUP(K114,【参考】数式用!$A$5:$AB$37,MATCH("新加算Ⅳ",【参考】数式用!$B$4:$AB$4,0)+1,0),0),0)*AF116*0.5,0)),"")</f>
        <v>0</v>
      </c>
      <c r="AK116" s="1339" t="str">
        <f t="shared" ref="AK116" si="276">IF(T116&lt;&gt;"","新規に適用","")</f>
        <v/>
      </c>
      <c r="AL116" s="1343">
        <f>IFERROR(IF(OR(M117="ベア加算",M117=""),0, IF(OR(T114="新加算Ⅰ",T114="新加算Ⅱ",T114="新加算Ⅲ",T114="新加算Ⅳ"),0,ROUNDDOWN(ROUND(L114*VLOOKUP(K114,【参考】数式用!$A$5:$I$37,MATCH("ベア加算",【参考】数式用!$B$4:$I$4,0)+1,0),0),0)*AF116)),"")</f>
        <v>0</v>
      </c>
      <c r="AM116" s="1313" t="str">
        <f>IF(AND(T116&lt;&gt;"",AM114=""),"新規に適用",IF(AND(T116&lt;&gt;"",AM114&lt;&gt;""),"継続で適用",""))</f>
        <v/>
      </c>
      <c r="AN116" s="1313" t="str">
        <f>IF(AND(T116&lt;&gt;"",AN114=""),"新規に適用",IF(AND(T116&lt;&gt;"",AN114&lt;&gt;""),"継続で適用",""))</f>
        <v/>
      </c>
      <c r="AO116" s="1361"/>
      <c r="AP116" s="1313" t="str">
        <f>IF(AND(T116&lt;&gt;"",AP114=""),"新規に適用",IF(AND(T116&lt;&gt;"",AP114&lt;&gt;""),"継続で適用",""))</f>
        <v/>
      </c>
      <c r="AQ116" s="1317" t="str">
        <f t="shared" si="243"/>
        <v/>
      </c>
      <c r="AR116" s="1313" t="str">
        <f>IF(AND(T116&lt;&gt;"",AR114=""),"新規に適用",IF(AND(T116&lt;&gt;"",AR114&lt;&gt;""),"継続で適用",""))</f>
        <v/>
      </c>
      <c r="AS116" s="1302"/>
      <c r="AT116" s="554"/>
      <c r="AU116" s="1303" t="str">
        <f>IF(K114&lt;&gt;"","V列に色付け","")</f>
        <v/>
      </c>
      <c r="AV116" s="1304"/>
      <c r="AW116" s="1305"/>
      <c r="AX116"/>
      <c r="AY116"/>
      <c r="AZ116"/>
      <c r="BA116"/>
      <c r="BB116"/>
      <c r="BC116"/>
      <c r="BD116"/>
      <c r="BE116"/>
      <c r="BF116"/>
      <c r="BG116"/>
      <c r="BH116"/>
      <c r="BI116"/>
      <c r="BJ116"/>
      <c r="BK116" s="452" t="str">
        <f>G114</f>
        <v/>
      </c>
    </row>
    <row r="117" spans="1:63" ht="30" customHeight="1" thickBot="1">
      <c r="A117" s="1268"/>
      <c r="B117" s="1411"/>
      <c r="C117" s="1412"/>
      <c r="D117" s="1412"/>
      <c r="E117" s="1412"/>
      <c r="F117" s="1413"/>
      <c r="G117" s="1253"/>
      <c r="H117" s="1253"/>
      <c r="I117" s="1253"/>
      <c r="J117" s="1416"/>
      <c r="K117" s="1253"/>
      <c r="L117" s="1277"/>
      <c r="M117" s="553" t="str">
        <f>IF('別紙様式2-2（４・５月分）'!P91="","",'別紙様式2-2（４・５月分）'!P91)</f>
        <v/>
      </c>
      <c r="N117" s="1394"/>
      <c r="O117" s="1374"/>
      <c r="P117" s="1376"/>
      <c r="Q117" s="1378"/>
      <c r="R117" s="1380"/>
      <c r="S117" s="1382"/>
      <c r="T117" s="1384"/>
      <c r="U117" s="1386"/>
      <c r="V117" s="1388"/>
      <c r="W117" s="1390"/>
      <c r="X117" s="1364"/>
      <c r="Y117" s="1390"/>
      <c r="Z117" s="1364"/>
      <c r="AA117" s="1390"/>
      <c r="AB117" s="1364"/>
      <c r="AC117" s="1390"/>
      <c r="AD117" s="1364"/>
      <c r="AE117" s="1364"/>
      <c r="AF117" s="1364"/>
      <c r="AG117" s="1360"/>
      <c r="AH117" s="1366"/>
      <c r="AI117" s="1368"/>
      <c r="AJ117" s="1370"/>
      <c r="AK117" s="1340"/>
      <c r="AL117" s="1344"/>
      <c r="AM117" s="1314"/>
      <c r="AN117" s="1314"/>
      <c r="AO117" s="1362"/>
      <c r="AP117" s="1314"/>
      <c r="AQ117" s="1318"/>
      <c r="AR117" s="1314"/>
      <c r="AS117" s="490"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4"/>
      <c r="AU117" s="1303"/>
      <c r="AV117" s="555" t="str">
        <f>IF('別紙様式2-2（４・５月分）'!N91="","",'別紙様式2-2（４・５月分）'!N91)</f>
        <v/>
      </c>
      <c r="AW117" s="1305"/>
      <c r="AX117"/>
      <c r="AY117"/>
      <c r="AZ117"/>
      <c r="BA117"/>
      <c r="BB117"/>
      <c r="BC117"/>
      <c r="BD117"/>
      <c r="BE117"/>
      <c r="BF117"/>
      <c r="BG117"/>
      <c r="BH117"/>
      <c r="BI117"/>
      <c r="BJ117"/>
      <c r="BK117" s="452" t="str">
        <f>G114</f>
        <v/>
      </c>
    </row>
    <row r="118" spans="1:63" ht="30" customHeight="1">
      <c r="A118" s="1266">
        <v>27</v>
      </c>
      <c r="B118" s="1235" t="str">
        <f>IF(基本情報入力シート!C80="","",基本情報入力シート!C80)</f>
        <v/>
      </c>
      <c r="C118" s="1236"/>
      <c r="D118" s="1236"/>
      <c r="E118" s="1236"/>
      <c r="F118" s="1237"/>
      <c r="G118" s="1252" t="str">
        <f>IF(基本情報入力シート!M80="","",基本情報入力シート!M80)</f>
        <v/>
      </c>
      <c r="H118" s="1252" t="str">
        <f>IF(基本情報入力シート!R80="","",基本情報入力シート!R80)</f>
        <v/>
      </c>
      <c r="I118" s="1252" t="str">
        <f>IF(基本情報入力シート!W80="","",基本情報入力シート!W80)</f>
        <v/>
      </c>
      <c r="J118" s="1415" t="str">
        <f>IF(基本情報入力シート!X80="","",基本情報入力シート!X80)</f>
        <v/>
      </c>
      <c r="K118" s="1252" t="str">
        <f>IF(基本情報入力シート!Y80="","",基本情報入力シート!Y80)</f>
        <v/>
      </c>
      <c r="L118" s="1276" t="str">
        <f>IF(基本情報入力シート!AB80="","",基本情報入力シート!AB80)</f>
        <v/>
      </c>
      <c r="M118" s="550" t="str">
        <f>IF('別紙様式2-2（４・５月分）'!P92="","",'別紙様式2-2（４・５月分）'!P92)</f>
        <v/>
      </c>
      <c r="N118" s="1391" t="str">
        <f>IF(SUM('別紙様式2-2（４・５月分）'!Q92:Q94)=0,"",SUM('別紙様式2-2（４・５月分）'!Q92:Q94))</f>
        <v/>
      </c>
      <c r="O118" s="1395" t="str">
        <f>IFERROR(VLOOKUP('別紙様式2-2（４・５月分）'!AQ92,【参考】数式用!$AR$5:$AS$22,2,FALSE),"")</f>
        <v/>
      </c>
      <c r="P118" s="1396"/>
      <c r="Q118" s="1397"/>
      <c r="R118" s="1401" t="str">
        <f>IFERROR(VLOOKUP(K118,【参考】数式用!$A$5:$AB$37,MATCH(O118,【参考】数式用!$B$4:$AB$4,0)+1,0),"")</f>
        <v/>
      </c>
      <c r="S118" s="1403" t="s">
        <v>2021</v>
      </c>
      <c r="T118" s="1405"/>
      <c r="U118" s="1407" t="str">
        <f>IFERROR(VLOOKUP(K118,【参考】数式用!$A$5:$AB$37,MATCH(T118,【参考】数式用!$B$4:$AB$4,0)+1,0),"")</f>
        <v/>
      </c>
      <c r="V118" s="1409" t="s">
        <v>15</v>
      </c>
      <c r="W118" s="1347">
        <v>6</v>
      </c>
      <c r="X118" s="1349" t="s">
        <v>10</v>
      </c>
      <c r="Y118" s="1347">
        <v>6</v>
      </c>
      <c r="Z118" s="1349" t="s">
        <v>38</v>
      </c>
      <c r="AA118" s="1347">
        <v>7</v>
      </c>
      <c r="AB118" s="1349" t="s">
        <v>10</v>
      </c>
      <c r="AC118" s="1347">
        <v>3</v>
      </c>
      <c r="AD118" s="1349" t="s">
        <v>13</v>
      </c>
      <c r="AE118" s="1349" t="s">
        <v>20</v>
      </c>
      <c r="AF118" s="1349">
        <f>IF(W118&gt;=1,(AA118*12+AC118)-(W118*12+Y118)+1,"")</f>
        <v>10</v>
      </c>
      <c r="AG118" s="1351" t="s">
        <v>33</v>
      </c>
      <c r="AH118" s="1353" t="str">
        <f t="shared" ref="AH118" si="278">IFERROR(ROUNDDOWN(ROUND(L118*U118,0),0)*AF118,"")</f>
        <v/>
      </c>
      <c r="AI118" s="1355" t="str">
        <f t="shared" ref="AI118" si="279">IFERROR(ROUNDDOWN(ROUND((L118*(U118-AW118)),0),0)*AF118,"")</f>
        <v/>
      </c>
      <c r="AJ118" s="1357">
        <f>IFERROR(IF(OR(M118="",M119="",M121=""),0,ROUNDDOWN(ROUNDDOWN(ROUND(L118*VLOOKUP(K118,【参考】数式用!$A$5:$AB$37,MATCH("新加算Ⅳ",【参考】数式用!$B$4:$AB$4,0)+1,0),0),0)*AF118*0.5,0)),"")</f>
        <v>0</v>
      </c>
      <c r="AK118" s="1341"/>
      <c r="AL118" s="1345">
        <f>IFERROR(IF(OR(M121="ベア加算",M121=""),0, IF(OR(T118="新加算Ⅰ",T118="新加算Ⅱ",T118="新加算Ⅲ",T118="新加算Ⅳ"),ROUNDDOWN(ROUND(L118*VLOOKUP(K118,【参考】数式用!$A$5:$I$37,MATCH("ベア加算",【参考】数式用!$B$4:$I$4,0)+1,0),0),0)*AF118,0)),"")</f>
        <v>0</v>
      </c>
      <c r="AM118" s="1331"/>
      <c r="AN118" s="1337"/>
      <c r="AO118" s="1333"/>
      <c r="AP118" s="1333"/>
      <c r="AQ118" s="1335"/>
      <c r="AR118" s="1315"/>
      <c r="AS118" s="465" t="str">
        <f t="shared" ref="AS118" si="280">IF(AU118="","",IF(U118&lt;N118,"！加算の要件上は問題ありませんが、令和６年４・５月と比較して令和６年６月に加算率が下がる計画になっています。",""))</f>
        <v/>
      </c>
      <c r="AT118" s="554"/>
      <c r="AU118" s="1303" t="str">
        <f>IF(K118&lt;&gt;"","V列に色付け","")</f>
        <v/>
      </c>
      <c r="AV118" s="555" t="str">
        <f>IF('別紙様式2-2（４・５月分）'!N92="","",'別紙様式2-2（４・５月分）'!N92)</f>
        <v/>
      </c>
      <c r="AW118" s="1305" t="str">
        <f>IF(SUM('別紙様式2-2（４・５月分）'!O92:O94)=0,"",SUM('別紙様式2-2（４・５月分）'!O92:O94))</f>
        <v/>
      </c>
      <c r="AX118" s="1306" t="str">
        <f>IFERROR(VLOOKUP(K118,【参考】数式用!$AH$2:$AI$34,2,FALSE),"")</f>
        <v/>
      </c>
      <c r="AY118" s="1222" t="s">
        <v>1959</v>
      </c>
      <c r="AZ118" s="1222" t="s">
        <v>1960</v>
      </c>
      <c r="BA118" s="1222" t="s">
        <v>1961</v>
      </c>
      <c r="BB118" s="1222" t="s">
        <v>1962</v>
      </c>
      <c r="BC118" s="1222" t="str">
        <f>IF(AND(O118&lt;&gt;"新加算Ⅰ",O118&lt;&gt;"新加算Ⅱ",O118&lt;&gt;"新加算Ⅲ",O118&lt;&gt;"新加算Ⅳ"),O118,IF(P120&lt;&gt;"",P120,""))</f>
        <v/>
      </c>
      <c r="BD118" s="1222"/>
      <c r="BE118" s="1222" t="str">
        <f t="shared" ref="BE118" si="281">IF(AL118&lt;&gt;0,IF(AM118="○","入力済","未入力"),"")</f>
        <v/>
      </c>
      <c r="BF118" s="1222"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2" t="str">
        <f>IF(OR(T118="新加算Ⅴ（７）",T118="新加算Ⅴ（９）",T118="新加算Ⅴ（10）",T118="新加算Ⅴ（12）",T118="新加算Ⅴ（13）",T118="新加算Ⅴ（14）"),IF(OR(AO118="○",AO118="令和６年度中に満たす"),"入力済","未入力"),"")</f>
        <v/>
      </c>
      <c r="BH118" s="1323" t="str">
        <f t="shared" ref="BH118" si="282">IF(OR(T118="新加算Ⅰ",T118="新加算Ⅱ",T118="新加算Ⅲ",T118="新加算Ⅴ（１）",T118="新加算Ⅴ（３）",T118="新加算Ⅴ（８）"),IF(OR(AP118="○",AP118="令和６年度中に満たす"),"入力済","未入力"),"")</f>
        <v/>
      </c>
      <c r="BI118" s="1325" t="str">
        <f t="shared" ref="BI118" si="283">IF(OR(T118="新加算Ⅰ",T118="新加算Ⅱ",T118="新加算Ⅴ（１）",T118="新加算Ⅴ（２）",T118="新加算Ⅴ（３）",T118="新加算Ⅴ（４）",T118="新加算Ⅴ（５）",T118="新加算Ⅴ（６）",T118="新加算Ⅴ（７）",T118="新加算Ⅴ（９）",T118="新加算Ⅴ（10）",T118="新加算Ⅴ（12）"),1,"")</f>
        <v/>
      </c>
      <c r="BJ118" s="1303" t="str">
        <f>IF(OR(T118="新加算Ⅰ",T118="新加算Ⅴ（１）",T118="新加算Ⅴ（２）",T118="新加算Ⅴ（５）",T118="新加算Ⅴ（７）",T118="新加算Ⅴ（10）"),IF(AR118="","未入力","入力済"),"")</f>
        <v/>
      </c>
      <c r="BK118" s="452" t="str">
        <f>G118</f>
        <v/>
      </c>
    </row>
    <row r="119" spans="1:63" ht="15" customHeight="1">
      <c r="A119" s="1267"/>
      <c r="B119" s="1235"/>
      <c r="C119" s="1236"/>
      <c r="D119" s="1236"/>
      <c r="E119" s="1236"/>
      <c r="F119" s="1237"/>
      <c r="G119" s="1252"/>
      <c r="H119" s="1252"/>
      <c r="I119" s="1252"/>
      <c r="J119" s="1415"/>
      <c r="K119" s="1252"/>
      <c r="L119" s="1276"/>
      <c r="M119" s="1371" t="str">
        <f>IF('別紙様式2-2（４・５月分）'!P93="","",'別紙様式2-2（４・５月分）'!P93)</f>
        <v/>
      </c>
      <c r="N119" s="1392"/>
      <c r="O119" s="1398"/>
      <c r="P119" s="1399"/>
      <c r="Q119" s="1400"/>
      <c r="R119" s="1402"/>
      <c r="S119" s="1404"/>
      <c r="T119" s="1406"/>
      <c r="U119" s="1408"/>
      <c r="V119" s="1410"/>
      <c r="W119" s="1348"/>
      <c r="X119" s="1350"/>
      <c r="Y119" s="1348"/>
      <c r="Z119" s="1350"/>
      <c r="AA119" s="1348"/>
      <c r="AB119" s="1350"/>
      <c r="AC119" s="1348"/>
      <c r="AD119" s="1350"/>
      <c r="AE119" s="1350"/>
      <c r="AF119" s="1350"/>
      <c r="AG119" s="1352"/>
      <c r="AH119" s="1354"/>
      <c r="AI119" s="1356"/>
      <c r="AJ119" s="1358"/>
      <c r="AK119" s="1342"/>
      <c r="AL119" s="1346"/>
      <c r="AM119" s="1332"/>
      <c r="AN119" s="1338"/>
      <c r="AO119" s="1334"/>
      <c r="AP119" s="1334"/>
      <c r="AQ119" s="1336"/>
      <c r="AR119" s="1316"/>
      <c r="AS119" s="1302"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4"/>
      <c r="AU119" s="1303"/>
      <c r="AV119" s="1304" t="str">
        <f>IF('別紙様式2-2（４・５月分）'!N93="","",'別紙様式2-2（４・５月分）'!N93)</f>
        <v/>
      </c>
      <c r="AW119" s="1305"/>
      <c r="AX119" s="1306"/>
      <c r="AY119" s="1222"/>
      <c r="AZ119" s="1222"/>
      <c r="BA119" s="1222"/>
      <c r="BB119" s="1222"/>
      <c r="BC119" s="1222"/>
      <c r="BD119" s="1222"/>
      <c r="BE119" s="1222"/>
      <c r="BF119" s="1222"/>
      <c r="BG119" s="1222"/>
      <c r="BH119" s="1324"/>
      <c r="BI119" s="1326"/>
      <c r="BJ119" s="1303"/>
      <c r="BK119" s="452" t="str">
        <f>G118</f>
        <v/>
      </c>
    </row>
    <row r="120" spans="1:63" ht="15" customHeight="1">
      <c r="A120" s="1295"/>
      <c r="B120" s="1235"/>
      <c r="C120" s="1236"/>
      <c r="D120" s="1236"/>
      <c r="E120" s="1236"/>
      <c r="F120" s="1237"/>
      <c r="G120" s="1252"/>
      <c r="H120" s="1252"/>
      <c r="I120" s="1252"/>
      <c r="J120" s="1415"/>
      <c r="K120" s="1252"/>
      <c r="L120" s="1276"/>
      <c r="M120" s="1372"/>
      <c r="N120" s="1393"/>
      <c r="O120" s="1373" t="s">
        <v>2025</v>
      </c>
      <c r="P120" s="1375" t="str">
        <f>IFERROR(VLOOKUP('別紙様式2-2（４・５月分）'!AQ92,【参考】数式用!$AR$5:$AT$22,3,FALSE),"")</f>
        <v/>
      </c>
      <c r="Q120" s="1377" t="s">
        <v>2036</v>
      </c>
      <c r="R120" s="1379" t="str">
        <f>IFERROR(VLOOKUP(K118,【参考】数式用!$A$5:$AB$37,MATCH(P120,【参考】数式用!$B$4:$AB$4,0)+1,0),"")</f>
        <v/>
      </c>
      <c r="S120" s="1381" t="s">
        <v>161</v>
      </c>
      <c r="T120" s="1383"/>
      <c r="U120" s="1385" t="str">
        <f>IFERROR(VLOOKUP(K118,【参考】数式用!$A$5:$AB$37,MATCH(T120,【参考】数式用!$B$4:$AB$4,0)+1,0),"")</f>
        <v/>
      </c>
      <c r="V120" s="1387" t="s">
        <v>15</v>
      </c>
      <c r="W120" s="1389">
        <v>7</v>
      </c>
      <c r="X120" s="1363" t="s">
        <v>10</v>
      </c>
      <c r="Y120" s="1389">
        <v>4</v>
      </c>
      <c r="Z120" s="1363" t="s">
        <v>38</v>
      </c>
      <c r="AA120" s="1389">
        <v>8</v>
      </c>
      <c r="AB120" s="1363" t="s">
        <v>10</v>
      </c>
      <c r="AC120" s="1389">
        <v>3</v>
      </c>
      <c r="AD120" s="1363" t="s">
        <v>13</v>
      </c>
      <c r="AE120" s="1363" t="s">
        <v>20</v>
      </c>
      <c r="AF120" s="1363">
        <f>IF(W120&gt;=1,(AA120*12+AC120)-(W120*12+Y120)+1,"")</f>
        <v>12</v>
      </c>
      <c r="AG120" s="1359" t="s">
        <v>33</v>
      </c>
      <c r="AH120" s="1365" t="str">
        <f t="shared" ref="AH120" si="285">IFERROR(ROUNDDOWN(ROUND(L118*U120,0),0)*AF120,"")</f>
        <v/>
      </c>
      <c r="AI120" s="1367" t="str">
        <f t="shared" ref="AI120" si="286">IFERROR(ROUNDDOWN(ROUND((L118*(U120-AW118)),0),0)*AF120,"")</f>
        <v/>
      </c>
      <c r="AJ120" s="1369">
        <f>IFERROR(IF(OR(M118="",M119="",M121=""),0,ROUNDDOWN(ROUNDDOWN(ROUND(L118*VLOOKUP(K118,【参考】数式用!$A$5:$AB$37,MATCH("新加算Ⅳ",【参考】数式用!$B$4:$AB$4,0)+1,0),0),0)*AF120*0.5,0)),"")</f>
        <v>0</v>
      </c>
      <c r="AK120" s="1339" t="str">
        <f t="shared" ref="AK120" si="287">IF(T120&lt;&gt;"","新規に適用","")</f>
        <v/>
      </c>
      <c r="AL120" s="1343">
        <f>IFERROR(IF(OR(M121="ベア加算",M121=""),0, IF(OR(T118="新加算Ⅰ",T118="新加算Ⅱ",T118="新加算Ⅲ",T118="新加算Ⅳ"),0,ROUNDDOWN(ROUND(L118*VLOOKUP(K118,【参考】数式用!$A$5:$I$37,MATCH("ベア加算",【参考】数式用!$B$4:$I$4,0)+1,0),0),0)*AF120)),"")</f>
        <v>0</v>
      </c>
      <c r="AM120" s="1313" t="str">
        <f>IF(AND(T120&lt;&gt;"",AM118=""),"新規に適用",IF(AND(T120&lt;&gt;"",AM118&lt;&gt;""),"継続で適用",""))</f>
        <v/>
      </c>
      <c r="AN120" s="1313" t="str">
        <f>IF(AND(T120&lt;&gt;"",AN118=""),"新規に適用",IF(AND(T120&lt;&gt;"",AN118&lt;&gt;""),"継続で適用",""))</f>
        <v/>
      </c>
      <c r="AO120" s="1361"/>
      <c r="AP120" s="1313" t="str">
        <f>IF(AND(T120&lt;&gt;"",AP118=""),"新規に適用",IF(AND(T120&lt;&gt;"",AP118&lt;&gt;""),"継続で適用",""))</f>
        <v/>
      </c>
      <c r="AQ120" s="1317" t="str">
        <f t="shared" si="243"/>
        <v/>
      </c>
      <c r="AR120" s="1313" t="str">
        <f>IF(AND(T120&lt;&gt;"",AR118=""),"新規に適用",IF(AND(T120&lt;&gt;"",AR118&lt;&gt;""),"継続で適用",""))</f>
        <v/>
      </c>
      <c r="AS120" s="1302"/>
      <c r="AT120" s="554"/>
      <c r="AU120" s="1303" t="str">
        <f>IF(K118&lt;&gt;"","V列に色付け","")</f>
        <v/>
      </c>
      <c r="AV120" s="1304"/>
      <c r="AW120" s="1305"/>
      <c r="AX120"/>
      <c r="AY120"/>
      <c r="AZ120"/>
      <c r="BA120"/>
      <c r="BB120"/>
      <c r="BC120"/>
      <c r="BD120"/>
      <c r="BE120"/>
      <c r="BF120"/>
      <c r="BG120"/>
      <c r="BH120"/>
      <c r="BI120"/>
      <c r="BJ120"/>
      <c r="BK120" s="452" t="str">
        <f>G118</f>
        <v/>
      </c>
    </row>
    <row r="121" spans="1:63" ht="30" customHeight="1" thickBot="1">
      <c r="A121" s="1268"/>
      <c r="B121" s="1411"/>
      <c r="C121" s="1412"/>
      <c r="D121" s="1412"/>
      <c r="E121" s="1412"/>
      <c r="F121" s="1413"/>
      <c r="G121" s="1253"/>
      <c r="H121" s="1253"/>
      <c r="I121" s="1253"/>
      <c r="J121" s="1416"/>
      <c r="K121" s="1253"/>
      <c r="L121" s="1277"/>
      <c r="M121" s="553" t="str">
        <f>IF('別紙様式2-2（４・５月分）'!P94="","",'別紙様式2-2（４・５月分）'!P94)</f>
        <v/>
      </c>
      <c r="N121" s="1394"/>
      <c r="O121" s="1374"/>
      <c r="P121" s="1376"/>
      <c r="Q121" s="1378"/>
      <c r="R121" s="1380"/>
      <c r="S121" s="1382"/>
      <c r="T121" s="1384"/>
      <c r="U121" s="1386"/>
      <c r="V121" s="1388"/>
      <c r="W121" s="1390"/>
      <c r="X121" s="1364"/>
      <c r="Y121" s="1390"/>
      <c r="Z121" s="1364"/>
      <c r="AA121" s="1390"/>
      <c r="AB121" s="1364"/>
      <c r="AC121" s="1390"/>
      <c r="AD121" s="1364"/>
      <c r="AE121" s="1364"/>
      <c r="AF121" s="1364"/>
      <c r="AG121" s="1360"/>
      <c r="AH121" s="1366"/>
      <c r="AI121" s="1368"/>
      <c r="AJ121" s="1370"/>
      <c r="AK121" s="1340"/>
      <c r="AL121" s="1344"/>
      <c r="AM121" s="1314"/>
      <c r="AN121" s="1314"/>
      <c r="AO121" s="1362"/>
      <c r="AP121" s="1314"/>
      <c r="AQ121" s="1318"/>
      <c r="AR121" s="1314"/>
      <c r="AS121" s="490"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4"/>
      <c r="AU121" s="1303"/>
      <c r="AV121" s="555" t="str">
        <f>IF('別紙様式2-2（４・５月分）'!N94="","",'別紙様式2-2（４・５月分）'!N94)</f>
        <v/>
      </c>
      <c r="AW121" s="1305"/>
      <c r="AX121"/>
      <c r="AY121"/>
      <c r="AZ121"/>
      <c r="BA121"/>
      <c r="BB121"/>
      <c r="BC121"/>
      <c r="BD121"/>
      <c r="BE121"/>
      <c r="BF121"/>
      <c r="BG121"/>
      <c r="BH121"/>
      <c r="BI121"/>
      <c r="BJ121"/>
      <c r="BK121" s="452" t="str">
        <f>G118</f>
        <v/>
      </c>
    </row>
    <row r="122" spans="1:63" ht="30" customHeight="1">
      <c r="A122" s="1293">
        <v>28</v>
      </c>
      <c r="B122" s="1232" t="str">
        <f>IF(基本情報入力シート!C81="","",基本情報入力シート!C81)</f>
        <v/>
      </c>
      <c r="C122" s="1233"/>
      <c r="D122" s="1233"/>
      <c r="E122" s="1233"/>
      <c r="F122" s="1234"/>
      <c r="G122" s="1251" t="str">
        <f>IF(基本情報入力シート!M81="","",基本情報入力シート!M81)</f>
        <v/>
      </c>
      <c r="H122" s="1251" t="str">
        <f>IF(基本情報入力シート!R81="","",基本情報入力シート!R81)</f>
        <v/>
      </c>
      <c r="I122" s="1251" t="str">
        <f>IF(基本情報入力シート!W81="","",基本情報入力シート!W81)</f>
        <v/>
      </c>
      <c r="J122" s="1414" t="str">
        <f>IF(基本情報入力シート!X81="","",基本情報入力シート!X81)</f>
        <v/>
      </c>
      <c r="K122" s="1251" t="str">
        <f>IF(基本情報入力シート!Y81="","",基本情報入力シート!Y81)</f>
        <v/>
      </c>
      <c r="L122" s="1275" t="str">
        <f>IF(基本情報入力シート!AB81="","",基本情報入力シート!AB81)</f>
        <v/>
      </c>
      <c r="M122" s="550" t="str">
        <f>IF('別紙様式2-2（４・５月分）'!P95="","",'別紙様式2-2（４・５月分）'!P95)</f>
        <v/>
      </c>
      <c r="N122" s="1391" t="str">
        <f>IF(SUM('別紙様式2-2（４・５月分）'!Q95:Q97)=0,"",SUM('別紙様式2-2（４・５月分）'!Q95:Q97))</f>
        <v/>
      </c>
      <c r="O122" s="1395" t="str">
        <f>IFERROR(VLOOKUP('別紙様式2-2（４・５月分）'!AQ95,【参考】数式用!$AR$5:$AS$22,2,FALSE),"")</f>
        <v/>
      </c>
      <c r="P122" s="1396"/>
      <c r="Q122" s="1397"/>
      <c r="R122" s="1401" t="str">
        <f>IFERROR(VLOOKUP(K122,【参考】数式用!$A$5:$AB$37,MATCH(O122,【参考】数式用!$B$4:$AB$4,0)+1,0),"")</f>
        <v/>
      </c>
      <c r="S122" s="1403" t="s">
        <v>2021</v>
      </c>
      <c r="T122" s="1405"/>
      <c r="U122" s="1407" t="str">
        <f>IFERROR(VLOOKUP(K122,【参考】数式用!$A$5:$AB$37,MATCH(T122,【参考】数式用!$B$4:$AB$4,0)+1,0),"")</f>
        <v/>
      </c>
      <c r="V122" s="1409" t="s">
        <v>15</v>
      </c>
      <c r="W122" s="1347">
        <v>6</v>
      </c>
      <c r="X122" s="1349" t="s">
        <v>10</v>
      </c>
      <c r="Y122" s="1347">
        <v>6</v>
      </c>
      <c r="Z122" s="1349" t="s">
        <v>38</v>
      </c>
      <c r="AA122" s="1347">
        <v>7</v>
      </c>
      <c r="AB122" s="1349" t="s">
        <v>10</v>
      </c>
      <c r="AC122" s="1347">
        <v>3</v>
      </c>
      <c r="AD122" s="1349" t="s">
        <v>13</v>
      </c>
      <c r="AE122" s="1349" t="s">
        <v>20</v>
      </c>
      <c r="AF122" s="1349">
        <f>IF(W122&gt;=1,(AA122*12+AC122)-(W122*12+Y122)+1,"")</f>
        <v>10</v>
      </c>
      <c r="AG122" s="1351" t="s">
        <v>33</v>
      </c>
      <c r="AH122" s="1353" t="str">
        <f t="shared" ref="AH122" si="289">IFERROR(ROUNDDOWN(ROUND(L122*U122,0),0)*AF122,"")</f>
        <v/>
      </c>
      <c r="AI122" s="1355" t="str">
        <f t="shared" ref="AI122" si="290">IFERROR(ROUNDDOWN(ROUND((L122*(U122-AW122)),0),0)*AF122,"")</f>
        <v/>
      </c>
      <c r="AJ122" s="1357">
        <f>IFERROR(IF(OR(M122="",M123="",M125=""),0,ROUNDDOWN(ROUNDDOWN(ROUND(L122*VLOOKUP(K122,【参考】数式用!$A$5:$AB$37,MATCH("新加算Ⅳ",【参考】数式用!$B$4:$AB$4,0)+1,0),0),0)*AF122*0.5,0)),"")</f>
        <v>0</v>
      </c>
      <c r="AK122" s="1341"/>
      <c r="AL122" s="1345">
        <f>IFERROR(IF(OR(M125="ベア加算",M125=""),0, IF(OR(T122="新加算Ⅰ",T122="新加算Ⅱ",T122="新加算Ⅲ",T122="新加算Ⅳ"),ROUNDDOWN(ROUND(L122*VLOOKUP(K122,【参考】数式用!$A$5:$I$37,MATCH("ベア加算",【参考】数式用!$B$4:$I$4,0)+1,0),0),0)*AF122,0)),"")</f>
        <v>0</v>
      </c>
      <c r="AM122" s="1331"/>
      <c r="AN122" s="1337"/>
      <c r="AO122" s="1333"/>
      <c r="AP122" s="1333"/>
      <c r="AQ122" s="1335"/>
      <c r="AR122" s="1315"/>
      <c r="AS122" s="465" t="str">
        <f t="shared" ref="AS122" si="291">IF(AU122="","",IF(U122&lt;N122,"！加算の要件上は問題ありませんが、令和６年４・５月と比較して令和６年６月に加算率が下がる計画になっています。",""))</f>
        <v/>
      </c>
      <c r="AT122" s="554"/>
      <c r="AU122" s="1303" t="str">
        <f>IF(K122&lt;&gt;"","V列に色付け","")</f>
        <v/>
      </c>
      <c r="AV122" s="555" t="str">
        <f>IF('別紙様式2-2（４・５月分）'!N95="","",'別紙様式2-2（４・５月分）'!N95)</f>
        <v/>
      </c>
      <c r="AW122" s="1305" t="str">
        <f>IF(SUM('別紙様式2-2（４・５月分）'!O95:O97)=0,"",SUM('別紙様式2-2（４・５月分）'!O95:O97))</f>
        <v/>
      </c>
      <c r="AX122" s="1306" t="str">
        <f>IFERROR(VLOOKUP(K122,【参考】数式用!$AH$2:$AI$34,2,FALSE),"")</f>
        <v/>
      </c>
      <c r="AY122" s="1222" t="s">
        <v>1959</v>
      </c>
      <c r="AZ122" s="1222" t="s">
        <v>1960</v>
      </c>
      <c r="BA122" s="1222" t="s">
        <v>1961</v>
      </c>
      <c r="BB122" s="1222" t="s">
        <v>1962</v>
      </c>
      <c r="BC122" s="1222" t="str">
        <f>IF(AND(O122&lt;&gt;"新加算Ⅰ",O122&lt;&gt;"新加算Ⅱ",O122&lt;&gt;"新加算Ⅲ",O122&lt;&gt;"新加算Ⅳ"),O122,IF(P124&lt;&gt;"",P124,""))</f>
        <v/>
      </c>
      <c r="BD122" s="1222"/>
      <c r="BE122" s="1222" t="str">
        <f t="shared" ref="BE122" si="292">IF(AL122&lt;&gt;0,IF(AM122="○","入力済","未入力"),"")</f>
        <v/>
      </c>
      <c r="BF122" s="1222"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2" t="str">
        <f>IF(OR(T122="新加算Ⅴ（７）",T122="新加算Ⅴ（９）",T122="新加算Ⅴ（10）",T122="新加算Ⅴ（12）",T122="新加算Ⅴ（13）",T122="新加算Ⅴ（14）"),IF(OR(AO122="○",AO122="令和６年度中に満たす"),"入力済","未入力"),"")</f>
        <v/>
      </c>
      <c r="BH122" s="1323" t="str">
        <f t="shared" ref="BH122" si="293">IF(OR(T122="新加算Ⅰ",T122="新加算Ⅱ",T122="新加算Ⅲ",T122="新加算Ⅴ（１）",T122="新加算Ⅴ（３）",T122="新加算Ⅴ（８）"),IF(OR(AP122="○",AP122="令和６年度中に満たす"),"入力済","未入力"),"")</f>
        <v/>
      </c>
      <c r="BI122" s="1325" t="str">
        <f t="shared" ref="BI122" si="294">IF(OR(T122="新加算Ⅰ",T122="新加算Ⅱ",T122="新加算Ⅴ（１）",T122="新加算Ⅴ（２）",T122="新加算Ⅴ（３）",T122="新加算Ⅴ（４）",T122="新加算Ⅴ（５）",T122="新加算Ⅴ（６）",T122="新加算Ⅴ（７）",T122="新加算Ⅴ（９）",T122="新加算Ⅴ（10）",T122="新加算Ⅴ（12）"),1,"")</f>
        <v/>
      </c>
      <c r="BJ122" s="1303" t="str">
        <f>IF(OR(T122="新加算Ⅰ",T122="新加算Ⅴ（１）",T122="新加算Ⅴ（２）",T122="新加算Ⅴ（５）",T122="新加算Ⅴ（７）",T122="新加算Ⅴ（10）"),IF(AR122="","未入力","入力済"),"")</f>
        <v/>
      </c>
      <c r="BK122" s="452" t="str">
        <f>G122</f>
        <v/>
      </c>
    </row>
    <row r="123" spans="1:63" ht="15" customHeight="1">
      <c r="A123" s="1267"/>
      <c r="B123" s="1235"/>
      <c r="C123" s="1236"/>
      <c r="D123" s="1236"/>
      <c r="E123" s="1236"/>
      <c r="F123" s="1237"/>
      <c r="G123" s="1252"/>
      <c r="H123" s="1252"/>
      <c r="I123" s="1252"/>
      <c r="J123" s="1415"/>
      <c r="K123" s="1252"/>
      <c r="L123" s="1276"/>
      <c r="M123" s="1371" t="str">
        <f>IF('別紙様式2-2（４・５月分）'!P96="","",'別紙様式2-2（４・５月分）'!P96)</f>
        <v/>
      </c>
      <c r="N123" s="1392"/>
      <c r="O123" s="1398"/>
      <c r="P123" s="1399"/>
      <c r="Q123" s="1400"/>
      <c r="R123" s="1402"/>
      <c r="S123" s="1404"/>
      <c r="T123" s="1406"/>
      <c r="U123" s="1408"/>
      <c r="V123" s="1410"/>
      <c r="W123" s="1348"/>
      <c r="X123" s="1350"/>
      <c r="Y123" s="1348"/>
      <c r="Z123" s="1350"/>
      <c r="AA123" s="1348"/>
      <c r="AB123" s="1350"/>
      <c r="AC123" s="1348"/>
      <c r="AD123" s="1350"/>
      <c r="AE123" s="1350"/>
      <c r="AF123" s="1350"/>
      <c r="AG123" s="1352"/>
      <c r="AH123" s="1354"/>
      <c r="AI123" s="1356"/>
      <c r="AJ123" s="1358"/>
      <c r="AK123" s="1342"/>
      <c r="AL123" s="1346"/>
      <c r="AM123" s="1332"/>
      <c r="AN123" s="1338"/>
      <c r="AO123" s="1334"/>
      <c r="AP123" s="1334"/>
      <c r="AQ123" s="1336"/>
      <c r="AR123" s="1316"/>
      <c r="AS123" s="1302"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4"/>
      <c r="AU123" s="1303"/>
      <c r="AV123" s="1304" t="str">
        <f>IF('別紙様式2-2（４・５月分）'!N96="","",'別紙様式2-2（４・５月分）'!N96)</f>
        <v/>
      </c>
      <c r="AW123" s="1305"/>
      <c r="AX123" s="1306"/>
      <c r="AY123" s="1222"/>
      <c r="AZ123" s="1222"/>
      <c r="BA123" s="1222"/>
      <c r="BB123" s="1222"/>
      <c r="BC123" s="1222"/>
      <c r="BD123" s="1222"/>
      <c r="BE123" s="1222"/>
      <c r="BF123" s="1222"/>
      <c r="BG123" s="1222"/>
      <c r="BH123" s="1324"/>
      <c r="BI123" s="1326"/>
      <c r="BJ123" s="1303"/>
      <c r="BK123" s="452" t="str">
        <f>G122</f>
        <v/>
      </c>
    </row>
    <row r="124" spans="1:63" ht="15" customHeight="1">
      <c r="A124" s="1295"/>
      <c r="B124" s="1235"/>
      <c r="C124" s="1236"/>
      <c r="D124" s="1236"/>
      <c r="E124" s="1236"/>
      <c r="F124" s="1237"/>
      <c r="G124" s="1252"/>
      <c r="H124" s="1252"/>
      <c r="I124" s="1252"/>
      <c r="J124" s="1415"/>
      <c r="K124" s="1252"/>
      <c r="L124" s="1276"/>
      <c r="M124" s="1372"/>
      <c r="N124" s="1393"/>
      <c r="O124" s="1373" t="s">
        <v>2025</v>
      </c>
      <c r="P124" s="1375" t="str">
        <f>IFERROR(VLOOKUP('別紙様式2-2（４・５月分）'!AQ95,【参考】数式用!$AR$5:$AT$22,3,FALSE),"")</f>
        <v/>
      </c>
      <c r="Q124" s="1377" t="s">
        <v>2036</v>
      </c>
      <c r="R124" s="1379" t="str">
        <f>IFERROR(VLOOKUP(K122,【参考】数式用!$A$5:$AB$37,MATCH(P124,【参考】数式用!$B$4:$AB$4,0)+1,0),"")</f>
        <v/>
      </c>
      <c r="S124" s="1381" t="s">
        <v>161</v>
      </c>
      <c r="T124" s="1383"/>
      <c r="U124" s="1385" t="str">
        <f>IFERROR(VLOOKUP(K122,【参考】数式用!$A$5:$AB$37,MATCH(T124,【参考】数式用!$B$4:$AB$4,0)+1,0),"")</f>
        <v/>
      </c>
      <c r="V124" s="1387" t="s">
        <v>15</v>
      </c>
      <c r="W124" s="1389">
        <v>7</v>
      </c>
      <c r="X124" s="1363" t="s">
        <v>10</v>
      </c>
      <c r="Y124" s="1389">
        <v>4</v>
      </c>
      <c r="Z124" s="1363" t="s">
        <v>38</v>
      </c>
      <c r="AA124" s="1389">
        <v>8</v>
      </c>
      <c r="AB124" s="1363" t="s">
        <v>10</v>
      </c>
      <c r="AC124" s="1389">
        <v>3</v>
      </c>
      <c r="AD124" s="1363" t="s">
        <v>13</v>
      </c>
      <c r="AE124" s="1363" t="s">
        <v>20</v>
      </c>
      <c r="AF124" s="1363">
        <f>IF(W124&gt;=1,(AA124*12+AC124)-(W124*12+Y124)+1,"")</f>
        <v>12</v>
      </c>
      <c r="AG124" s="1359" t="s">
        <v>33</v>
      </c>
      <c r="AH124" s="1365" t="str">
        <f t="shared" ref="AH124" si="296">IFERROR(ROUNDDOWN(ROUND(L122*U124,0),0)*AF124,"")</f>
        <v/>
      </c>
      <c r="AI124" s="1367" t="str">
        <f t="shared" ref="AI124" si="297">IFERROR(ROUNDDOWN(ROUND((L122*(U124-AW122)),0),0)*AF124,"")</f>
        <v/>
      </c>
      <c r="AJ124" s="1369">
        <f>IFERROR(IF(OR(M122="",M123="",M125=""),0,ROUNDDOWN(ROUNDDOWN(ROUND(L122*VLOOKUP(K122,【参考】数式用!$A$5:$AB$37,MATCH("新加算Ⅳ",【参考】数式用!$B$4:$AB$4,0)+1,0),0),0)*AF124*0.5,0)),"")</f>
        <v>0</v>
      </c>
      <c r="AK124" s="1339" t="str">
        <f t="shared" ref="AK124" si="298">IF(T124&lt;&gt;"","新規に適用","")</f>
        <v/>
      </c>
      <c r="AL124" s="1343">
        <f>IFERROR(IF(OR(M125="ベア加算",M125=""),0, IF(OR(T122="新加算Ⅰ",T122="新加算Ⅱ",T122="新加算Ⅲ",T122="新加算Ⅳ"),0,ROUNDDOWN(ROUND(L122*VLOOKUP(K122,【参考】数式用!$A$5:$I$37,MATCH("ベア加算",【参考】数式用!$B$4:$I$4,0)+1,0),0),0)*AF124)),"")</f>
        <v>0</v>
      </c>
      <c r="AM124" s="1313" t="str">
        <f>IF(AND(T124&lt;&gt;"",AM122=""),"新規に適用",IF(AND(T124&lt;&gt;"",AM122&lt;&gt;""),"継続で適用",""))</f>
        <v/>
      </c>
      <c r="AN124" s="1313" t="str">
        <f>IF(AND(T124&lt;&gt;"",AN122=""),"新規に適用",IF(AND(T124&lt;&gt;"",AN122&lt;&gt;""),"継続で適用",""))</f>
        <v/>
      </c>
      <c r="AO124" s="1361"/>
      <c r="AP124" s="1313" t="str">
        <f>IF(AND(T124&lt;&gt;"",AP122=""),"新規に適用",IF(AND(T124&lt;&gt;"",AP122&lt;&gt;""),"継続で適用",""))</f>
        <v/>
      </c>
      <c r="AQ124" s="1317" t="str">
        <f t="shared" si="243"/>
        <v/>
      </c>
      <c r="AR124" s="1313" t="str">
        <f>IF(AND(T124&lt;&gt;"",AR122=""),"新規に適用",IF(AND(T124&lt;&gt;"",AR122&lt;&gt;""),"継続で適用",""))</f>
        <v/>
      </c>
      <c r="AS124" s="1302"/>
      <c r="AT124" s="554"/>
      <c r="AU124" s="1303" t="str">
        <f>IF(K122&lt;&gt;"","V列に色付け","")</f>
        <v/>
      </c>
      <c r="AV124" s="1304"/>
      <c r="AW124" s="1305"/>
      <c r="AX124"/>
      <c r="AY124"/>
      <c r="AZ124"/>
      <c r="BA124"/>
      <c r="BB124"/>
      <c r="BC124"/>
      <c r="BD124"/>
      <c r="BE124"/>
      <c r="BF124"/>
      <c r="BG124"/>
      <c r="BH124"/>
      <c r="BI124"/>
      <c r="BJ124"/>
      <c r="BK124" s="452" t="str">
        <f>G122</f>
        <v/>
      </c>
    </row>
    <row r="125" spans="1:63" ht="30" customHeight="1" thickBot="1">
      <c r="A125" s="1268"/>
      <c r="B125" s="1411"/>
      <c r="C125" s="1412"/>
      <c r="D125" s="1412"/>
      <c r="E125" s="1412"/>
      <c r="F125" s="1413"/>
      <c r="G125" s="1253"/>
      <c r="H125" s="1253"/>
      <c r="I125" s="1253"/>
      <c r="J125" s="1416"/>
      <c r="K125" s="1253"/>
      <c r="L125" s="1277"/>
      <c r="M125" s="553" t="str">
        <f>IF('別紙様式2-2（４・５月分）'!P97="","",'別紙様式2-2（４・５月分）'!P97)</f>
        <v/>
      </c>
      <c r="N125" s="1394"/>
      <c r="O125" s="1374"/>
      <c r="P125" s="1376"/>
      <c r="Q125" s="1378"/>
      <c r="R125" s="1380"/>
      <c r="S125" s="1382"/>
      <c r="T125" s="1384"/>
      <c r="U125" s="1386"/>
      <c r="V125" s="1388"/>
      <c r="W125" s="1390"/>
      <c r="X125" s="1364"/>
      <c r="Y125" s="1390"/>
      <c r="Z125" s="1364"/>
      <c r="AA125" s="1390"/>
      <c r="AB125" s="1364"/>
      <c r="AC125" s="1390"/>
      <c r="AD125" s="1364"/>
      <c r="AE125" s="1364"/>
      <c r="AF125" s="1364"/>
      <c r="AG125" s="1360"/>
      <c r="AH125" s="1366"/>
      <c r="AI125" s="1368"/>
      <c r="AJ125" s="1370"/>
      <c r="AK125" s="1340"/>
      <c r="AL125" s="1344"/>
      <c r="AM125" s="1314"/>
      <c r="AN125" s="1314"/>
      <c r="AO125" s="1362"/>
      <c r="AP125" s="1314"/>
      <c r="AQ125" s="1318"/>
      <c r="AR125" s="1314"/>
      <c r="AS125" s="490"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4"/>
      <c r="AU125" s="1303"/>
      <c r="AV125" s="555" t="str">
        <f>IF('別紙様式2-2（４・５月分）'!N97="","",'別紙様式2-2（４・５月分）'!N97)</f>
        <v/>
      </c>
      <c r="AW125" s="1305"/>
      <c r="AX125"/>
      <c r="AY125"/>
      <c r="AZ125"/>
      <c r="BA125"/>
      <c r="BB125"/>
      <c r="BC125"/>
      <c r="BD125"/>
      <c r="BE125"/>
      <c r="BF125"/>
      <c r="BG125"/>
      <c r="BH125"/>
      <c r="BI125"/>
      <c r="BJ125"/>
      <c r="BK125" s="452" t="str">
        <f>G122</f>
        <v/>
      </c>
    </row>
    <row r="126" spans="1:63" ht="30" customHeight="1">
      <c r="A126" s="1266">
        <v>29</v>
      </c>
      <c r="B126" s="1235" t="str">
        <f>IF(基本情報入力シート!C82="","",基本情報入力シート!C82)</f>
        <v/>
      </c>
      <c r="C126" s="1236"/>
      <c r="D126" s="1236"/>
      <c r="E126" s="1236"/>
      <c r="F126" s="1237"/>
      <c r="G126" s="1252" t="str">
        <f>IF(基本情報入力シート!M82="","",基本情報入力シート!M82)</f>
        <v/>
      </c>
      <c r="H126" s="1252" t="str">
        <f>IF(基本情報入力シート!R82="","",基本情報入力シート!R82)</f>
        <v/>
      </c>
      <c r="I126" s="1252" t="str">
        <f>IF(基本情報入力シート!W82="","",基本情報入力シート!W82)</f>
        <v/>
      </c>
      <c r="J126" s="1415" t="str">
        <f>IF(基本情報入力シート!X82="","",基本情報入力シート!X82)</f>
        <v/>
      </c>
      <c r="K126" s="1252" t="str">
        <f>IF(基本情報入力シート!Y82="","",基本情報入力シート!Y82)</f>
        <v/>
      </c>
      <c r="L126" s="1276" t="str">
        <f>IF(基本情報入力シート!AB82="","",基本情報入力シート!AB82)</f>
        <v/>
      </c>
      <c r="M126" s="550" t="str">
        <f>IF('別紙様式2-2（４・５月分）'!P98="","",'別紙様式2-2（４・５月分）'!P98)</f>
        <v/>
      </c>
      <c r="N126" s="1391" t="str">
        <f>IF(SUM('別紙様式2-2（４・５月分）'!Q98:Q100)=0,"",SUM('別紙様式2-2（４・５月分）'!Q98:Q100))</f>
        <v/>
      </c>
      <c r="O126" s="1395" t="str">
        <f>IFERROR(VLOOKUP('別紙様式2-2（４・５月分）'!AQ98,【参考】数式用!$AR$5:$AS$22,2,FALSE),"")</f>
        <v/>
      </c>
      <c r="P126" s="1396"/>
      <c r="Q126" s="1397"/>
      <c r="R126" s="1401" t="str">
        <f>IFERROR(VLOOKUP(K126,【参考】数式用!$A$5:$AB$37,MATCH(O126,【参考】数式用!$B$4:$AB$4,0)+1,0),"")</f>
        <v/>
      </c>
      <c r="S126" s="1403" t="s">
        <v>2021</v>
      </c>
      <c r="T126" s="1405"/>
      <c r="U126" s="1407" t="str">
        <f>IFERROR(VLOOKUP(K126,【参考】数式用!$A$5:$AB$37,MATCH(T126,【参考】数式用!$B$4:$AB$4,0)+1,0),"")</f>
        <v/>
      </c>
      <c r="V126" s="1409" t="s">
        <v>15</v>
      </c>
      <c r="W126" s="1347">
        <v>6</v>
      </c>
      <c r="X126" s="1349" t="s">
        <v>10</v>
      </c>
      <c r="Y126" s="1347">
        <v>6</v>
      </c>
      <c r="Z126" s="1349" t="s">
        <v>38</v>
      </c>
      <c r="AA126" s="1347">
        <v>7</v>
      </c>
      <c r="AB126" s="1349" t="s">
        <v>10</v>
      </c>
      <c r="AC126" s="1347">
        <v>3</v>
      </c>
      <c r="AD126" s="1349" t="s">
        <v>13</v>
      </c>
      <c r="AE126" s="1349" t="s">
        <v>20</v>
      </c>
      <c r="AF126" s="1349">
        <f>IF(W126&gt;=1,(AA126*12+AC126)-(W126*12+Y126)+1,"")</f>
        <v>10</v>
      </c>
      <c r="AG126" s="1351" t="s">
        <v>33</v>
      </c>
      <c r="AH126" s="1353" t="str">
        <f t="shared" ref="AH126" si="300">IFERROR(ROUNDDOWN(ROUND(L126*U126,0),0)*AF126,"")</f>
        <v/>
      </c>
      <c r="AI126" s="1355" t="str">
        <f t="shared" ref="AI126" si="301">IFERROR(ROUNDDOWN(ROUND((L126*(U126-AW126)),0),0)*AF126,"")</f>
        <v/>
      </c>
      <c r="AJ126" s="1357">
        <f>IFERROR(IF(OR(M126="",M127="",M129=""),0,ROUNDDOWN(ROUNDDOWN(ROUND(L126*VLOOKUP(K126,【参考】数式用!$A$5:$AB$37,MATCH("新加算Ⅳ",【参考】数式用!$B$4:$AB$4,0)+1,0),0),0)*AF126*0.5,0)),"")</f>
        <v>0</v>
      </c>
      <c r="AK126" s="1341"/>
      <c r="AL126" s="1345">
        <f>IFERROR(IF(OR(M129="ベア加算",M129=""),0, IF(OR(T126="新加算Ⅰ",T126="新加算Ⅱ",T126="新加算Ⅲ",T126="新加算Ⅳ"),ROUNDDOWN(ROUND(L126*VLOOKUP(K126,【参考】数式用!$A$5:$I$37,MATCH("ベア加算",【参考】数式用!$B$4:$I$4,0)+1,0),0),0)*AF126,0)),"")</f>
        <v>0</v>
      </c>
      <c r="AM126" s="1331"/>
      <c r="AN126" s="1337"/>
      <c r="AO126" s="1333"/>
      <c r="AP126" s="1333"/>
      <c r="AQ126" s="1335"/>
      <c r="AR126" s="1315"/>
      <c r="AS126" s="465" t="str">
        <f t="shared" ref="AS126" si="302">IF(AU126="","",IF(U126&lt;N126,"！加算の要件上は問題ありませんが、令和６年４・５月と比較して令和６年６月に加算率が下がる計画になっています。",""))</f>
        <v/>
      </c>
      <c r="AT126" s="554"/>
      <c r="AU126" s="1303" t="str">
        <f>IF(K126&lt;&gt;"","V列に色付け","")</f>
        <v/>
      </c>
      <c r="AV126" s="555" t="str">
        <f>IF('別紙様式2-2（４・５月分）'!N98="","",'別紙様式2-2（４・５月分）'!N98)</f>
        <v/>
      </c>
      <c r="AW126" s="1305" t="str">
        <f>IF(SUM('別紙様式2-2（４・５月分）'!O98:O100)=0,"",SUM('別紙様式2-2（４・５月分）'!O98:O100))</f>
        <v/>
      </c>
      <c r="AX126" s="1306" t="str">
        <f>IFERROR(VLOOKUP(K126,【参考】数式用!$AH$2:$AI$34,2,FALSE),"")</f>
        <v/>
      </c>
      <c r="AY126" s="1222" t="s">
        <v>1959</v>
      </c>
      <c r="AZ126" s="1222" t="s">
        <v>1960</v>
      </c>
      <c r="BA126" s="1222" t="s">
        <v>1961</v>
      </c>
      <c r="BB126" s="1222" t="s">
        <v>1962</v>
      </c>
      <c r="BC126" s="1222" t="str">
        <f>IF(AND(O126&lt;&gt;"新加算Ⅰ",O126&lt;&gt;"新加算Ⅱ",O126&lt;&gt;"新加算Ⅲ",O126&lt;&gt;"新加算Ⅳ"),O126,IF(P128&lt;&gt;"",P128,""))</f>
        <v/>
      </c>
      <c r="BD126" s="1222"/>
      <c r="BE126" s="1222" t="str">
        <f t="shared" ref="BE126" si="303">IF(AL126&lt;&gt;0,IF(AM126="○","入力済","未入力"),"")</f>
        <v/>
      </c>
      <c r="BF126" s="1222"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2" t="str">
        <f>IF(OR(T126="新加算Ⅴ（７）",T126="新加算Ⅴ（９）",T126="新加算Ⅴ（10）",T126="新加算Ⅴ（12）",T126="新加算Ⅴ（13）",T126="新加算Ⅴ（14）"),IF(OR(AO126="○",AO126="令和６年度中に満たす"),"入力済","未入力"),"")</f>
        <v/>
      </c>
      <c r="BH126" s="1323" t="str">
        <f t="shared" ref="BH126" si="304">IF(OR(T126="新加算Ⅰ",T126="新加算Ⅱ",T126="新加算Ⅲ",T126="新加算Ⅴ（１）",T126="新加算Ⅴ（３）",T126="新加算Ⅴ（８）"),IF(OR(AP126="○",AP126="令和６年度中に満たす"),"入力済","未入力"),"")</f>
        <v/>
      </c>
      <c r="BI126" s="1325" t="str">
        <f t="shared" ref="BI126" si="305">IF(OR(T126="新加算Ⅰ",T126="新加算Ⅱ",T126="新加算Ⅴ（１）",T126="新加算Ⅴ（２）",T126="新加算Ⅴ（３）",T126="新加算Ⅴ（４）",T126="新加算Ⅴ（５）",T126="新加算Ⅴ（６）",T126="新加算Ⅴ（７）",T126="新加算Ⅴ（９）",T126="新加算Ⅴ（10）",T126="新加算Ⅴ（12）"),1,"")</f>
        <v/>
      </c>
      <c r="BJ126" s="1303" t="str">
        <f>IF(OR(T126="新加算Ⅰ",T126="新加算Ⅴ（１）",T126="新加算Ⅴ（２）",T126="新加算Ⅴ（５）",T126="新加算Ⅴ（７）",T126="新加算Ⅴ（10）"),IF(AR126="","未入力","入力済"),"")</f>
        <v/>
      </c>
      <c r="BK126" s="452" t="str">
        <f>G126</f>
        <v/>
      </c>
    </row>
    <row r="127" spans="1:63" ht="15" customHeight="1">
      <c r="A127" s="1267"/>
      <c r="B127" s="1235"/>
      <c r="C127" s="1236"/>
      <c r="D127" s="1236"/>
      <c r="E127" s="1236"/>
      <c r="F127" s="1237"/>
      <c r="G127" s="1252"/>
      <c r="H127" s="1252"/>
      <c r="I127" s="1252"/>
      <c r="J127" s="1415"/>
      <c r="K127" s="1252"/>
      <c r="L127" s="1276"/>
      <c r="M127" s="1371" t="str">
        <f>IF('別紙様式2-2（４・５月分）'!P99="","",'別紙様式2-2（４・５月分）'!P99)</f>
        <v/>
      </c>
      <c r="N127" s="1392"/>
      <c r="O127" s="1398"/>
      <c r="P127" s="1399"/>
      <c r="Q127" s="1400"/>
      <c r="R127" s="1402"/>
      <c r="S127" s="1404"/>
      <c r="T127" s="1406"/>
      <c r="U127" s="1408"/>
      <c r="V127" s="1410"/>
      <c r="W127" s="1348"/>
      <c r="X127" s="1350"/>
      <c r="Y127" s="1348"/>
      <c r="Z127" s="1350"/>
      <c r="AA127" s="1348"/>
      <c r="AB127" s="1350"/>
      <c r="AC127" s="1348"/>
      <c r="AD127" s="1350"/>
      <c r="AE127" s="1350"/>
      <c r="AF127" s="1350"/>
      <c r="AG127" s="1352"/>
      <c r="AH127" s="1354"/>
      <c r="AI127" s="1356"/>
      <c r="AJ127" s="1358"/>
      <c r="AK127" s="1342"/>
      <c r="AL127" s="1346"/>
      <c r="AM127" s="1332"/>
      <c r="AN127" s="1338"/>
      <c r="AO127" s="1334"/>
      <c r="AP127" s="1334"/>
      <c r="AQ127" s="1336"/>
      <c r="AR127" s="1316"/>
      <c r="AS127" s="1302"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4"/>
      <c r="AU127" s="1303"/>
      <c r="AV127" s="1304" t="str">
        <f>IF('別紙様式2-2（４・５月分）'!N99="","",'別紙様式2-2（４・５月分）'!N99)</f>
        <v/>
      </c>
      <c r="AW127" s="1305"/>
      <c r="AX127" s="1306"/>
      <c r="AY127" s="1222"/>
      <c r="AZ127" s="1222"/>
      <c r="BA127" s="1222"/>
      <c r="BB127" s="1222"/>
      <c r="BC127" s="1222"/>
      <c r="BD127" s="1222"/>
      <c r="BE127" s="1222"/>
      <c r="BF127" s="1222"/>
      <c r="BG127" s="1222"/>
      <c r="BH127" s="1324"/>
      <c r="BI127" s="1326"/>
      <c r="BJ127" s="1303"/>
      <c r="BK127" s="452" t="str">
        <f>G126</f>
        <v/>
      </c>
    </row>
    <row r="128" spans="1:63" ht="15" customHeight="1">
      <c r="A128" s="1295"/>
      <c r="B128" s="1235"/>
      <c r="C128" s="1236"/>
      <c r="D128" s="1236"/>
      <c r="E128" s="1236"/>
      <c r="F128" s="1237"/>
      <c r="G128" s="1252"/>
      <c r="H128" s="1252"/>
      <c r="I128" s="1252"/>
      <c r="J128" s="1415"/>
      <c r="K128" s="1252"/>
      <c r="L128" s="1276"/>
      <c r="M128" s="1372"/>
      <c r="N128" s="1393"/>
      <c r="O128" s="1373" t="s">
        <v>2025</v>
      </c>
      <c r="P128" s="1375" t="str">
        <f>IFERROR(VLOOKUP('別紙様式2-2（４・５月分）'!AQ98,【参考】数式用!$AR$5:$AT$22,3,FALSE),"")</f>
        <v/>
      </c>
      <c r="Q128" s="1377" t="s">
        <v>2036</v>
      </c>
      <c r="R128" s="1379" t="str">
        <f>IFERROR(VLOOKUP(K126,【参考】数式用!$A$5:$AB$37,MATCH(P128,【参考】数式用!$B$4:$AB$4,0)+1,0),"")</f>
        <v/>
      </c>
      <c r="S128" s="1381" t="s">
        <v>161</v>
      </c>
      <c r="T128" s="1383"/>
      <c r="U128" s="1385" t="str">
        <f>IFERROR(VLOOKUP(K126,【参考】数式用!$A$5:$AB$37,MATCH(T128,【参考】数式用!$B$4:$AB$4,0)+1,0),"")</f>
        <v/>
      </c>
      <c r="V128" s="1387" t="s">
        <v>15</v>
      </c>
      <c r="W128" s="1389">
        <v>7</v>
      </c>
      <c r="X128" s="1363" t="s">
        <v>10</v>
      </c>
      <c r="Y128" s="1389">
        <v>4</v>
      </c>
      <c r="Z128" s="1363" t="s">
        <v>38</v>
      </c>
      <c r="AA128" s="1389">
        <v>8</v>
      </c>
      <c r="AB128" s="1363" t="s">
        <v>10</v>
      </c>
      <c r="AC128" s="1389">
        <v>3</v>
      </c>
      <c r="AD128" s="1363" t="s">
        <v>13</v>
      </c>
      <c r="AE128" s="1363" t="s">
        <v>20</v>
      </c>
      <c r="AF128" s="1363">
        <f>IF(W128&gt;=1,(AA128*12+AC128)-(W128*12+Y128)+1,"")</f>
        <v>12</v>
      </c>
      <c r="AG128" s="1359" t="s">
        <v>33</v>
      </c>
      <c r="AH128" s="1365" t="str">
        <f t="shared" ref="AH128" si="307">IFERROR(ROUNDDOWN(ROUND(L126*U128,0),0)*AF128,"")</f>
        <v/>
      </c>
      <c r="AI128" s="1367" t="str">
        <f t="shared" ref="AI128" si="308">IFERROR(ROUNDDOWN(ROUND((L126*(U128-AW126)),0),0)*AF128,"")</f>
        <v/>
      </c>
      <c r="AJ128" s="1369">
        <f>IFERROR(IF(OR(M126="",M127="",M129=""),0,ROUNDDOWN(ROUNDDOWN(ROUND(L126*VLOOKUP(K126,【参考】数式用!$A$5:$AB$37,MATCH("新加算Ⅳ",【参考】数式用!$B$4:$AB$4,0)+1,0),0),0)*AF128*0.5,0)),"")</f>
        <v>0</v>
      </c>
      <c r="AK128" s="1339" t="str">
        <f t="shared" ref="AK128" si="309">IF(T128&lt;&gt;"","新規に適用","")</f>
        <v/>
      </c>
      <c r="AL128" s="1343">
        <f>IFERROR(IF(OR(M129="ベア加算",M129=""),0, IF(OR(T126="新加算Ⅰ",T126="新加算Ⅱ",T126="新加算Ⅲ",T126="新加算Ⅳ"),0,ROUNDDOWN(ROUND(L126*VLOOKUP(K126,【参考】数式用!$A$5:$I$37,MATCH("ベア加算",【参考】数式用!$B$4:$I$4,0)+1,0),0),0)*AF128)),"")</f>
        <v>0</v>
      </c>
      <c r="AM128" s="1313" t="str">
        <f>IF(AND(T128&lt;&gt;"",AM126=""),"新規に適用",IF(AND(T128&lt;&gt;"",AM126&lt;&gt;""),"継続で適用",""))</f>
        <v/>
      </c>
      <c r="AN128" s="1313" t="str">
        <f>IF(AND(T128&lt;&gt;"",AN126=""),"新規に適用",IF(AND(T128&lt;&gt;"",AN126&lt;&gt;""),"継続で適用",""))</f>
        <v/>
      </c>
      <c r="AO128" s="1361"/>
      <c r="AP128" s="1313" t="str">
        <f>IF(AND(T128&lt;&gt;"",AP126=""),"新規に適用",IF(AND(T128&lt;&gt;"",AP126&lt;&gt;""),"継続で適用",""))</f>
        <v/>
      </c>
      <c r="AQ128" s="1317" t="str">
        <f t="shared" si="243"/>
        <v/>
      </c>
      <c r="AR128" s="1313" t="str">
        <f>IF(AND(T128&lt;&gt;"",AR126=""),"新規に適用",IF(AND(T128&lt;&gt;"",AR126&lt;&gt;""),"継続で適用",""))</f>
        <v/>
      </c>
      <c r="AS128" s="1302"/>
      <c r="AT128" s="554"/>
      <c r="AU128" s="1303" t="str">
        <f>IF(K126&lt;&gt;"","V列に色付け","")</f>
        <v/>
      </c>
      <c r="AV128" s="1304"/>
      <c r="AW128" s="1305"/>
      <c r="AX128"/>
      <c r="AY128"/>
      <c r="AZ128"/>
      <c r="BA128"/>
      <c r="BB128"/>
      <c r="BC128"/>
      <c r="BD128"/>
      <c r="BE128"/>
      <c r="BF128"/>
      <c r="BG128"/>
      <c r="BH128"/>
      <c r="BI128"/>
      <c r="BJ128"/>
      <c r="BK128" s="452" t="str">
        <f>G126</f>
        <v/>
      </c>
    </row>
    <row r="129" spans="1:63" ht="30" customHeight="1" thickBot="1">
      <c r="A129" s="1268"/>
      <c r="B129" s="1411"/>
      <c r="C129" s="1412"/>
      <c r="D129" s="1412"/>
      <c r="E129" s="1412"/>
      <c r="F129" s="1413"/>
      <c r="G129" s="1253"/>
      <c r="H129" s="1253"/>
      <c r="I129" s="1253"/>
      <c r="J129" s="1416"/>
      <c r="K129" s="1253"/>
      <c r="L129" s="1277"/>
      <c r="M129" s="553" t="str">
        <f>IF('別紙様式2-2（４・５月分）'!P100="","",'別紙様式2-2（４・５月分）'!P100)</f>
        <v/>
      </c>
      <c r="N129" s="1394"/>
      <c r="O129" s="1374"/>
      <c r="P129" s="1376"/>
      <c r="Q129" s="1378"/>
      <c r="R129" s="1380"/>
      <c r="S129" s="1382"/>
      <c r="T129" s="1384"/>
      <c r="U129" s="1386"/>
      <c r="V129" s="1388"/>
      <c r="W129" s="1390"/>
      <c r="X129" s="1364"/>
      <c r="Y129" s="1390"/>
      <c r="Z129" s="1364"/>
      <c r="AA129" s="1390"/>
      <c r="AB129" s="1364"/>
      <c r="AC129" s="1390"/>
      <c r="AD129" s="1364"/>
      <c r="AE129" s="1364"/>
      <c r="AF129" s="1364"/>
      <c r="AG129" s="1360"/>
      <c r="AH129" s="1366"/>
      <c r="AI129" s="1368"/>
      <c r="AJ129" s="1370"/>
      <c r="AK129" s="1340"/>
      <c r="AL129" s="1344"/>
      <c r="AM129" s="1314"/>
      <c r="AN129" s="1314"/>
      <c r="AO129" s="1362"/>
      <c r="AP129" s="1314"/>
      <c r="AQ129" s="1318"/>
      <c r="AR129" s="1314"/>
      <c r="AS129" s="490"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4"/>
      <c r="AU129" s="1303"/>
      <c r="AV129" s="555" t="str">
        <f>IF('別紙様式2-2（４・５月分）'!N100="","",'別紙様式2-2（４・５月分）'!N100)</f>
        <v/>
      </c>
      <c r="AW129" s="1305"/>
      <c r="AX129"/>
      <c r="AY129"/>
      <c r="AZ129"/>
      <c r="BA129"/>
      <c r="BB129"/>
      <c r="BC129"/>
      <c r="BD129"/>
      <c r="BE129"/>
      <c r="BF129"/>
      <c r="BG129"/>
      <c r="BH129"/>
      <c r="BI129"/>
      <c r="BJ129"/>
      <c r="BK129" s="452" t="str">
        <f>G126</f>
        <v/>
      </c>
    </row>
    <row r="130" spans="1:63" ht="30" customHeight="1">
      <c r="A130" s="1293">
        <v>30</v>
      </c>
      <c r="B130" s="1232" t="str">
        <f>IF(基本情報入力シート!C83="","",基本情報入力シート!C83)</f>
        <v/>
      </c>
      <c r="C130" s="1233"/>
      <c r="D130" s="1233"/>
      <c r="E130" s="1233"/>
      <c r="F130" s="1234"/>
      <c r="G130" s="1251" t="str">
        <f>IF(基本情報入力シート!M83="","",基本情報入力シート!M83)</f>
        <v/>
      </c>
      <c r="H130" s="1251" t="str">
        <f>IF(基本情報入力シート!R83="","",基本情報入力シート!R83)</f>
        <v/>
      </c>
      <c r="I130" s="1251" t="str">
        <f>IF(基本情報入力シート!W83="","",基本情報入力シート!W83)</f>
        <v/>
      </c>
      <c r="J130" s="1414" t="str">
        <f>IF(基本情報入力シート!X83="","",基本情報入力シート!X83)</f>
        <v/>
      </c>
      <c r="K130" s="1251" t="str">
        <f>IF(基本情報入力シート!Y83="","",基本情報入力シート!Y83)</f>
        <v/>
      </c>
      <c r="L130" s="1275" t="str">
        <f>IF(基本情報入力シート!AB83="","",基本情報入力シート!AB83)</f>
        <v/>
      </c>
      <c r="M130" s="550" t="str">
        <f>IF('別紙様式2-2（４・５月分）'!P101="","",'別紙様式2-2（４・５月分）'!P101)</f>
        <v/>
      </c>
      <c r="N130" s="1391" t="str">
        <f>IF(SUM('別紙様式2-2（４・５月分）'!Q101:Q103)=0,"",SUM('別紙様式2-2（４・５月分）'!Q101:Q103))</f>
        <v/>
      </c>
      <c r="O130" s="1395" t="str">
        <f>IFERROR(VLOOKUP('別紙様式2-2（４・５月分）'!AQ101,【参考】数式用!$AR$5:$AS$22,2,FALSE),"")</f>
        <v/>
      </c>
      <c r="P130" s="1396"/>
      <c r="Q130" s="1397"/>
      <c r="R130" s="1401" t="str">
        <f>IFERROR(VLOOKUP(K130,【参考】数式用!$A$5:$AB$37,MATCH(O130,【参考】数式用!$B$4:$AB$4,0)+1,0),"")</f>
        <v/>
      </c>
      <c r="S130" s="1403" t="s">
        <v>2021</v>
      </c>
      <c r="T130" s="1405"/>
      <c r="U130" s="1407" t="str">
        <f>IFERROR(VLOOKUP(K130,【参考】数式用!$A$5:$AB$37,MATCH(T130,【参考】数式用!$B$4:$AB$4,0)+1,0),"")</f>
        <v/>
      </c>
      <c r="V130" s="1409" t="s">
        <v>15</v>
      </c>
      <c r="W130" s="1347">
        <v>6</v>
      </c>
      <c r="X130" s="1349" t="s">
        <v>10</v>
      </c>
      <c r="Y130" s="1347">
        <v>6</v>
      </c>
      <c r="Z130" s="1349" t="s">
        <v>38</v>
      </c>
      <c r="AA130" s="1347">
        <v>7</v>
      </c>
      <c r="AB130" s="1349" t="s">
        <v>10</v>
      </c>
      <c r="AC130" s="1347">
        <v>3</v>
      </c>
      <c r="AD130" s="1349" t="s">
        <v>13</v>
      </c>
      <c r="AE130" s="1349" t="s">
        <v>20</v>
      </c>
      <c r="AF130" s="1349">
        <f>IF(W130&gt;=1,(AA130*12+AC130)-(W130*12+Y130)+1,"")</f>
        <v>10</v>
      </c>
      <c r="AG130" s="1351" t="s">
        <v>33</v>
      </c>
      <c r="AH130" s="1353" t="str">
        <f t="shared" ref="AH130" si="311">IFERROR(ROUNDDOWN(ROUND(L130*U130,0),0)*AF130,"")</f>
        <v/>
      </c>
      <c r="AI130" s="1355" t="str">
        <f t="shared" ref="AI130" si="312">IFERROR(ROUNDDOWN(ROUND((L130*(U130-AW130)),0),0)*AF130,"")</f>
        <v/>
      </c>
      <c r="AJ130" s="1357">
        <f>IFERROR(IF(OR(M130="",M131="",M133=""),0,ROUNDDOWN(ROUNDDOWN(ROUND(L130*VLOOKUP(K130,【参考】数式用!$A$5:$AB$37,MATCH("新加算Ⅳ",【参考】数式用!$B$4:$AB$4,0)+1,0),0),0)*AF130*0.5,0)),"")</f>
        <v>0</v>
      </c>
      <c r="AK130" s="1341"/>
      <c r="AL130" s="1345">
        <f>IFERROR(IF(OR(M133="ベア加算",M133=""),0, IF(OR(T130="新加算Ⅰ",T130="新加算Ⅱ",T130="新加算Ⅲ",T130="新加算Ⅳ"),ROUNDDOWN(ROUND(L130*VLOOKUP(K130,【参考】数式用!$A$5:$I$37,MATCH("ベア加算",【参考】数式用!$B$4:$I$4,0)+1,0),0),0)*AF130,0)),"")</f>
        <v>0</v>
      </c>
      <c r="AM130" s="1331"/>
      <c r="AN130" s="1337"/>
      <c r="AO130" s="1333"/>
      <c r="AP130" s="1333"/>
      <c r="AQ130" s="1335"/>
      <c r="AR130" s="1315"/>
      <c r="AS130" s="465" t="str">
        <f t="shared" ref="AS130" si="313">IF(AU130="","",IF(U130&lt;N130,"！加算の要件上は問題ありませんが、令和６年４・５月と比較して令和６年６月に加算率が下がる計画になっています。",""))</f>
        <v/>
      </c>
      <c r="AT130" s="554"/>
      <c r="AU130" s="1303" t="str">
        <f>IF(K130&lt;&gt;"","V列に色付け","")</f>
        <v/>
      </c>
      <c r="AV130" s="555" t="str">
        <f>IF('別紙様式2-2（４・５月分）'!N101="","",'別紙様式2-2（４・５月分）'!N101)</f>
        <v/>
      </c>
      <c r="AW130" s="1305" t="str">
        <f>IF(SUM('別紙様式2-2（４・５月分）'!O101:O103)=0,"",SUM('別紙様式2-2（４・５月分）'!O101:O103))</f>
        <v/>
      </c>
      <c r="AX130" s="1306" t="str">
        <f>IFERROR(VLOOKUP(K130,【参考】数式用!$AH$2:$AI$34,2,FALSE),"")</f>
        <v/>
      </c>
      <c r="AY130" s="1222" t="s">
        <v>1959</v>
      </c>
      <c r="AZ130" s="1222" t="s">
        <v>1960</v>
      </c>
      <c r="BA130" s="1222" t="s">
        <v>1961</v>
      </c>
      <c r="BB130" s="1222" t="s">
        <v>1962</v>
      </c>
      <c r="BC130" s="1222" t="str">
        <f>IF(AND(O130&lt;&gt;"新加算Ⅰ",O130&lt;&gt;"新加算Ⅱ",O130&lt;&gt;"新加算Ⅲ",O130&lt;&gt;"新加算Ⅳ"),O130,IF(P132&lt;&gt;"",P132,""))</f>
        <v/>
      </c>
      <c r="BD130" s="1222"/>
      <c r="BE130" s="1222" t="str">
        <f t="shared" ref="BE130" si="314">IF(AL130&lt;&gt;0,IF(AM130="○","入力済","未入力"),"")</f>
        <v/>
      </c>
      <c r="BF130" s="1222"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2" t="str">
        <f>IF(OR(T130="新加算Ⅴ（７）",T130="新加算Ⅴ（９）",T130="新加算Ⅴ（10）",T130="新加算Ⅴ（12）",T130="新加算Ⅴ（13）",T130="新加算Ⅴ（14）"),IF(OR(AO130="○",AO130="令和６年度中に満たす"),"入力済","未入力"),"")</f>
        <v/>
      </c>
      <c r="BH130" s="1323" t="str">
        <f t="shared" ref="BH130" si="315">IF(OR(T130="新加算Ⅰ",T130="新加算Ⅱ",T130="新加算Ⅲ",T130="新加算Ⅴ（１）",T130="新加算Ⅴ（３）",T130="新加算Ⅴ（８）"),IF(OR(AP130="○",AP130="令和６年度中に満たす"),"入力済","未入力"),"")</f>
        <v/>
      </c>
      <c r="BI130" s="1325" t="str">
        <f t="shared" ref="BI130" si="316">IF(OR(T130="新加算Ⅰ",T130="新加算Ⅱ",T130="新加算Ⅴ（１）",T130="新加算Ⅴ（２）",T130="新加算Ⅴ（３）",T130="新加算Ⅴ（４）",T130="新加算Ⅴ（５）",T130="新加算Ⅴ（６）",T130="新加算Ⅴ（７）",T130="新加算Ⅴ（９）",T130="新加算Ⅴ（10）",T130="新加算Ⅴ（12）"),1,"")</f>
        <v/>
      </c>
      <c r="BJ130" s="1303" t="str">
        <f>IF(OR(T130="新加算Ⅰ",T130="新加算Ⅴ（１）",T130="新加算Ⅴ（２）",T130="新加算Ⅴ（５）",T130="新加算Ⅴ（７）",T130="新加算Ⅴ（10）"),IF(AR130="","未入力","入力済"),"")</f>
        <v/>
      </c>
      <c r="BK130" s="452" t="str">
        <f>G130</f>
        <v/>
      </c>
    </row>
    <row r="131" spans="1:63" ht="15" customHeight="1">
      <c r="A131" s="1267"/>
      <c r="B131" s="1235"/>
      <c r="C131" s="1236"/>
      <c r="D131" s="1236"/>
      <c r="E131" s="1236"/>
      <c r="F131" s="1237"/>
      <c r="G131" s="1252"/>
      <c r="H131" s="1252"/>
      <c r="I131" s="1252"/>
      <c r="J131" s="1415"/>
      <c r="K131" s="1252"/>
      <c r="L131" s="1276"/>
      <c r="M131" s="1371" t="str">
        <f>IF('別紙様式2-2（４・５月分）'!P102="","",'別紙様式2-2（４・５月分）'!P102)</f>
        <v/>
      </c>
      <c r="N131" s="1392"/>
      <c r="O131" s="1398"/>
      <c r="P131" s="1399"/>
      <c r="Q131" s="1400"/>
      <c r="R131" s="1402"/>
      <c r="S131" s="1404"/>
      <c r="T131" s="1406"/>
      <c r="U131" s="1408"/>
      <c r="V131" s="1410"/>
      <c r="W131" s="1348"/>
      <c r="X131" s="1350"/>
      <c r="Y131" s="1348"/>
      <c r="Z131" s="1350"/>
      <c r="AA131" s="1348"/>
      <c r="AB131" s="1350"/>
      <c r="AC131" s="1348"/>
      <c r="AD131" s="1350"/>
      <c r="AE131" s="1350"/>
      <c r="AF131" s="1350"/>
      <c r="AG131" s="1352"/>
      <c r="AH131" s="1354"/>
      <c r="AI131" s="1356"/>
      <c r="AJ131" s="1358"/>
      <c r="AK131" s="1342"/>
      <c r="AL131" s="1346"/>
      <c r="AM131" s="1332"/>
      <c r="AN131" s="1338"/>
      <c r="AO131" s="1334"/>
      <c r="AP131" s="1334"/>
      <c r="AQ131" s="1336"/>
      <c r="AR131" s="1316"/>
      <c r="AS131" s="1302"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4"/>
      <c r="AU131" s="1303"/>
      <c r="AV131" s="1304" t="str">
        <f>IF('別紙様式2-2（４・５月分）'!N102="","",'別紙様式2-2（４・５月分）'!N102)</f>
        <v/>
      </c>
      <c r="AW131" s="1305"/>
      <c r="AX131" s="1306"/>
      <c r="AY131" s="1222"/>
      <c r="AZ131" s="1222"/>
      <c r="BA131" s="1222"/>
      <c r="BB131" s="1222"/>
      <c r="BC131" s="1222"/>
      <c r="BD131" s="1222"/>
      <c r="BE131" s="1222"/>
      <c r="BF131" s="1222"/>
      <c r="BG131" s="1222"/>
      <c r="BH131" s="1324"/>
      <c r="BI131" s="1326"/>
      <c r="BJ131" s="1303"/>
      <c r="BK131" s="452" t="str">
        <f>G130</f>
        <v/>
      </c>
    </row>
    <row r="132" spans="1:63" ht="15" customHeight="1">
      <c r="A132" s="1295"/>
      <c r="B132" s="1235"/>
      <c r="C132" s="1236"/>
      <c r="D132" s="1236"/>
      <c r="E132" s="1236"/>
      <c r="F132" s="1237"/>
      <c r="G132" s="1252"/>
      <c r="H132" s="1252"/>
      <c r="I132" s="1252"/>
      <c r="J132" s="1415"/>
      <c r="K132" s="1252"/>
      <c r="L132" s="1276"/>
      <c r="M132" s="1372"/>
      <c r="N132" s="1393"/>
      <c r="O132" s="1373" t="s">
        <v>2025</v>
      </c>
      <c r="P132" s="1375" t="str">
        <f>IFERROR(VLOOKUP('別紙様式2-2（４・５月分）'!AQ101,【参考】数式用!$AR$5:$AT$22,3,FALSE),"")</f>
        <v/>
      </c>
      <c r="Q132" s="1377" t="s">
        <v>2036</v>
      </c>
      <c r="R132" s="1379" t="str">
        <f>IFERROR(VLOOKUP(K130,【参考】数式用!$A$5:$AB$37,MATCH(P132,【参考】数式用!$B$4:$AB$4,0)+1,0),"")</f>
        <v/>
      </c>
      <c r="S132" s="1381" t="s">
        <v>161</v>
      </c>
      <c r="T132" s="1383"/>
      <c r="U132" s="1385" t="str">
        <f>IFERROR(VLOOKUP(K130,【参考】数式用!$A$5:$AB$37,MATCH(T132,【参考】数式用!$B$4:$AB$4,0)+1,0),"")</f>
        <v/>
      </c>
      <c r="V132" s="1387" t="s">
        <v>15</v>
      </c>
      <c r="W132" s="1389">
        <v>7</v>
      </c>
      <c r="X132" s="1363" t="s">
        <v>10</v>
      </c>
      <c r="Y132" s="1389">
        <v>4</v>
      </c>
      <c r="Z132" s="1363" t="s">
        <v>38</v>
      </c>
      <c r="AA132" s="1389">
        <v>8</v>
      </c>
      <c r="AB132" s="1363" t="s">
        <v>10</v>
      </c>
      <c r="AC132" s="1389">
        <v>3</v>
      </c>
      <c r="AD132" s="1363" t="s">
        <v>13</v>
      </c>
      <c r="AE132" s="1363" t="s">
        <v>20</v>
      </c>
      <c r="AF132" s="1363">
        <f>IF(W132&gt;=1,(AA132*12+AC132)-(W132*12+Y132)+1,"")</f>
        <v>12</v>
      </c>
      <c r="AG132" s="1359" t="s">
        <v>33</v>
      </c>
      <c r="AH132" s="1365" t="str">
        <f t="shared" ref="AH132" si="318">IFERROR(ROUNDDOWN(ROUND(L130*U132,0),0)*AF132,"")</f>
        <v/>
      </c>
      <c r="AI132" s="1367" t="str">
        <f t="shared" ref="AI132" si="319">IFERROR(ROUNDDOWN(ROUND((L130*(U132-AW130)),0),0)*AF132,"")</f>
        <v/>
      </c>
      <c r="AJ132" s="1369">
        <f>IFERROR(IF(OR(M130="",M131="",M133=""),0,ROUNDDOWN(ROUNDDOWN(ROUND(L130*VLOOKUP(K130,【参考】数式用!$A$5:$AB$37,MATCH("新加算Ⅳ",【参考】数式用!$B$4:$AB$4,0)+1,0),0),0)*AF132*0.5,0)),"")</f>
        <v>0</v>
      </c>
      <c r="AK132" s="1339" t="str">
        <f t="shared" ref="AK132" si="320">IF(T132&lt;&gt;"","新規に適用","")</f>
        <v/>
      </c>
      <c r="AL132" s="1343">
        <f>IFERROR(IF(OR(M133="ベア加算",M133=""),0, IF(OR(T130="新加算Ⅰ",T130="新加算Ⅱ",T130="新加算Ⅲ",T130="新加算Ⅳ"),0,ROUNDDOWN(ROUND(L130*VLOOKUP(K130,【参考】数式用!$A$5:$I$37,MATCH("ベア加算",【参考】数式用!$B$4:$I$4,0)+1,0),0),0)*AF132)),"")</f>
        <v>0</v>
      </c>
      <c r="AM132" s="1313" t="str">
        <f>IF(AND(T132&lt;&gt;"",AM130=""),"新規に適用",IF(AND(T132&lt;&gt;"",AM130&lt;&gt;""),"継続で適用",""))</f>
        <v/>
      </c>
      <c r="AN132" s="1313" t="str">
        <f>IF(AND(T132&lt;&gt;"",AN130=""),"新規に適用",IF(AND(T132&lt;&gt;"",AN130&lt;&gt;""),"継続で適用",""))</f>
        <v/>
      </c>
      <c r="AO132" s="1361"/>
      <c r="AP132" s="1313" t="str">
        <f>IF(AND(T132&lt;&gt;"",AP130=""),"新規に適用",IF(AND(T132&lt;&gt;"",AP130&lt;&gt;""),"継続で適用",""))</f>
        <v/>
      </c>
      <c r="AQ132" s="1317" t="str">
        <f t="shared" si="243"/>
        <v/>
      </c>
      <c r="AR132" s="1313" t="str">
        <f>IF(AND(T132&lt;&gt;"",AR130=""),"新規に適用",IF(AND(T132&lt;&gt;"",AR130&lt;&gt;""),"継続で適用",""))</f>
        <v/>
      </c>
      <c r="AS132" s="1302"/>
      <c r="AT132" s="554"/>
      <c r="AU132" s="1303" t="str">
        <f>IF(K130&lt;&gt;"","V列に色付け","")</f>
        <v/>
      </c>
      <c r="AV132" s="1304"/>
      <c r="AW132" s="1305"/>
      <c r="AX132"/>
      <c r="AY132"/>
      <c r="AZ132"/>
      <c r="BA132"/>
      <c r="BB132"/>
      <c r="BC132"/>
      <c r="BD132"/>
      <c r="BE132"/>
      <c r="BF132"/>
      <c r="BG132"/>
      <c r="BH132"/>
      <c r="BI132"/>
      <c r="BJ132"/>
      <c r="BK132" s="452" t="str">
        <f>G130</f>
        <v/>
      </c>
    </row>
    <row r="133" spans="1:63" ht="30" customHeight="1" thickBot="1">
      <c r="A133" s="1268"/>
      <c r="B133" s="1411"/>
      <c r="C133" s="1412"/>
      <c r="D133" s="1412"/>
      <c r="E133" s="1412"/>
      <c r="F133" s="1413"/>
      <c r="G133" s="1253"/>
      <c r="H133" s="1253"/>
      <c r="I133" s="1253"/>
      <c r="J133" s="1416"/>
      <c r="K133" s="1253"/>
      <c r="L133" s="1277"/>
      <c r="M133" s="553" t="str">
        <f>IF('別紙様式2-2（４・５月分）'!P103="","",'別紙様式2-2（４・５月分）'!P103)</f>
        <v/>
      </c>
      <c r="N133" s="1394"/>
      <c r="O133" s="1374"/>
      <c r="P133" s="1376"/>
      <c r="Q133" s="1378"/>
      <c r="R133" s="1380"/>
      <c r="S133" s="1382"/>
      <c r="T133" s="1384"/>
      <c r="U133" s="1386"/>
      <c r="V133" s="1388"/>
      <c r="W133" s="1390"/>
      <c r="X133" s="1364"/>
      <c r="Y133" s="1390"/>
      <c r="Z133" s="1364"/>
      <c r="AA133" s="1390"/>
      <c r="AB133" s="1364"/>
      <c r="AC133" s="1390"/>
      <c r="AD133" s="1364"/>
      <c r="AE133" s="1364"/>
      <c r="AF133" s="1364"/>
      <c r="AG133" s="1360"/>
      <c r="AH133" s="1366"/>
      <c r="AI133" s="1368"/>
      <c r="AJ133" s="1370"/>
      <c r="AK133" s="1340"/>
      <c r="AL133" s="1344"/>
      <c r="AM133" s="1314"/>
      <c r="AN133" s="1314"/>
      <c r="AO133" s="1362"/>
      <c r="AP133" s="1314"/>
      <c r="AQ133" s="1318"/>
      <c r="AR133" s="1314"/>
      <c r="AS133" s="490"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4"/>
      <c r="AU133" s="1303"/>
      <c r="AV133" s="555" t="str">
        <f>IF('別紙様式2-2（４・５月分）'!N103="","",'別紙様式2-2（４・５月分）'!N103)</f>
        <v/>
      </c>
      <c r="AW133" s="1305"/>
      <c r="AX133"/>
      <c r="AY133"/>
      <c r="AZ133"/>
      <c r="BA133"/>
      <c r="BB133"/>
      <c r="BC133"/>
      <c r="BD133"/>
      <c r="BE133"/>
      <c r="BF133"/>
      <c r="BG133"/>
      <c r="BH133"/>
      <c r="BI133"/>
      <c r="BJ133"/>
      <c r="BK133" s="452" t="str">
        <f>G130</f>
        <v/>
      </c>
    </row>
    <row r="134" spans="1:63" ht="30" customHeight="1">
      <c r="A134" s="1266">
        <v>31</v>
      </c>
      <c r="B134" s="1235" t="str">
        <f>IF(基本情報入力シート!C84="","",基本情報入力シート!C84)</f>
        <v/>
      </c>
      <c r="C134" s="1236"/>
      <c r="D134" s="1236"/>
      <c r="E134" s="1236"/>
      <c r="F134" s="1237"/>
      <c r="G134" s="1252" t="str">
        <f>IF(基本情報入力シート!M84="","",基本情報入力シート!M84)</f>
        <v/>
      </c>
      <c r="H134" s="1252" t="str">
        <f>IF(基本情報入力シート!R84="","",基本情報入力シート!R84)</f>
        <v/>
      </c>
      <c r="I134" s="1252" t="str">
        <f>IF(基本情報入力シート!W84="","",基本情報入力シート!W84)</f>
        <v/>
      </c>
      <c r="J134" s="1415" t="str">
        <f>IF(基本情報入力シート!X84="","",基本情報入力シート!X84)</f>
        <v/>
      </c>
      <c r="K134" s="1252" t="str">
        <f>IF(基本情報入力シート!Y84="","",基本情報入力シート!Y84)</f>
        <v/>
      </c>
      <c r="L134" s="1276" t="str">
        <f>IF(基本情報入力シート!AB84="","",基本情報入力シート!AB84)</f>
        <v/>
      </c>
      <c r="M134" s="550" t="str">
        <f>IF('別紙様式2-2（４・５月分）'!P104="","",'別紙様式2-2（４・５月分）'!P104)</f>
        <v/>
      </c>
      <c r="N134" s="1391" t="str">
        <f>IF(SUM('別紙様式2-2（４・５月分）'!Q104:Q106)=0,"",SUM('別紙様式2-2（４・５月分）'!Q104:Q106))</f>
        <v/>
      </c>
      <c r="O134" s="1395" t="str">
        <f>IFERROR(VLOOKUP('別紙様式2-2（４・５月分）'!AQ104,【参考】数式用!$AR$5:$AS$22,2,FALSE),"")</f>
        <v/>
      </c>
      <c r="P134" s="1396"/>
      <c r="Q134" s="1397"/>
      <c r="R134" s="1401" t="str">
        <f>IFERROR(VLOOKUP(K134,【参考】数式用!$A$5:$AB$37,MATCH(O134,【参考】数式用!$B$4:$AB$4,0)+1,0),"")</f>
        <v/>
      </c>
      <c r="S134" s="1403" t="s">
        <v>2021</v>
      </c>
      <c r="T134" s="1405"/>
      <c r="U134" s="1407" t="str">
        <f>IFERROR(VLOOKUP(K134,【参考】数式用!$A$5:$AB$37,MATCH(T134,【参考】数式用!$B$4:$AB$4,0)+1,0),"")</f>
        <v/>
      </c>
      <c r="V134" s="1409" t="s">
        <v>15</v>
      </c>
      <c r="W134" s="1347">
        <v>6</v>
      </c>
      <c r="X134" s="1349" t="s">
        <v>10</v>
      </c>
      <c r="Y134" s="1347">
        <v>6</v>
      </c>
      <c r="Z134" s="1349" t="s">
        <v>38</v>
      </c>
      <c r="AA134" s="1347">
        <v>7</v>
      </c>
      <c r="AB134" s="1349" t="s">
        <v>10</v>
      </c>
      <c r="AC134" s="1347">
        <v>3</v>
      </c>
      <c r="AD134" s="1349" t="s">
        <v>13</v>
      </c>
      <c r="AE134" s="1349" t="s">
        <v>20</v>
      </c>
      <c r="AF134" s="1349">
        <f>IF(W134&gt;=1,(AA134*12+AC134)-(W134*12+Y134)+1,"")</f>
        <v>10</v>
      </c>
      <c r="AG134" s="1351" t="s">
        <v>33</v>
      </c>
      <c r="AH134" s="1353" t="str">
        <f t="shared" ref="AH134" si="322">IFERROR(ROUNDDOWN(ROUND(L134*U134,0),0)*AF134,"")</f>
        <v/>
      </c>
      <c r="AI134" s="1355" t="str">
        <f t="shared" ref="AI134" si="323">IFERROR(ROUNDDOWN(ROUND((L134*(U134-AW134)),0),0)*AF134,"")</f>
        <v/>
      </c>
      <c r="AJ134" s="1357">
        <f>IFERROR(IF(OR(M134="",M135="",M137=""),0,ROUNDDOWN(ROUNDDOWN(ROUND(L134*VLOOKUP(K134,【参考】数式用!$A$5:$AB$37,MATCH("新加算Ⅳ",【参考】数式用!$B$4:$AB$4,0)+1,0),0),0)*AF134*0.5,0)),"")</f>
        <v>0</v>
      </c>
      <c r="AK134" s="1341"/>
      <c r="AL134" s="1345">
        <f>IFERROR(IF(OR(M137="ベア加算",M137=""),0, IF(OR(T134="新加算Ⅰ",T134="新加算Ⅱ",T134="新加算Ⅲ",T134="新加算Ⅳ"),ROUNDDOWN(ROUND(L134*VLOOKUP(K134,【参考】数式用!$A$5:$I$37,MATCH("ベア加算",【参考】数式用!$B$4:$I$4,0)+1,0),0),0)*AF134,0)),"")</f>
        <v>0</v>
      </c>
      <c r="AM134" s="1331"/>
      <c r="AN134" s="1337"/>
      <c r="AO134" s="1333"/>
      <c r="AP134" s="1333"/>
      <c r="AQ134" s="1335"/>
      <c r="AR134" s="1315"/>
      <c r="AS134" s="465" t="str">
        <f t="shared" ref="AS134" si="324">IF(AU134="","",IF(U134&lt;N134,"！加算の要件上は問題ありませんが、令和６年４・５月と比較して令和６年６月に加算率が下がる計画になっています。",""))</f>
        <v/>
      </c>
      <c r="AT134" s="554"/>
      <c r="AU134" s="1303" t="str">
        <f>IF(K134&lt;&gt;"","V列に色付け","")</f>
        <v/>
      </c>
      <c r="AV134" s="555" t="str">
        <f>IF('別紙様式2-2（４・５月分）'!N104="","",'別紙様式2-2（４・５月分）'!N104)</f>
        <v/>
      </c>
      <c r="AW134" s="1305" t="str">
        <f>IF(SUM('別紙様式2-2（４・５月分）'!O104:O106)=0,"",SUM('別紙様式2-2（４・５月分）'!O104:O106))</f>
        <v/>
      </c>
      <c r="AX134" s="1306" t="str">
        <f>IFERROR(VLOOKUP(K134,【参考】数式用!$AH$2:$AI$34,2,FALSE),"")</f>
        <v/>
      </c>
      <c r="AY134" s="1222" t="s">
        <v>1959</v>
      </c>
      <c r="AZ134" s="1222" t="s">
        <v>1960</v>
      </c>
      <c r="BA134" s="1222" t="s">
        <v>1961</v>
      </c>
      <c r="BB134" s="1222" t="s">
        <v>1962</v>
      </c>
      <c r="BC134" s="1222" t="str">
        <f>IF(AND(O134&lt;&gt;"新加算Ⅰ",O134&lt;&gt;"新加算Ⅱ",O134&lt;&gt;"新加算Ⅲ",O134&lt;&gt;"新加算Ⅳ"),O134,IF(P136&lt;&gt;"",P136,""))</f>
        <v/>
      </c>
      <c r="BD134" s="1222"/>
      <c r="BE134" s="1222" t="str">
        <f t="shared" ref="BE134" si="325">IF(AL134&lt;&gt;0,IF(AM134="○","入力済","未入力"),"")</f>
        <v/>
      </c>
      <c r="BF134" s="1222"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2" t="str">
        <f>IF(OR(T134="新加算Ⅴ（７）",T134="新加算Ⅴ（９）",T134="新加算Ⅴ（10）",T134="新加算Ⅴ（12）",T134="新加算Ⅴ（13）",T134="新加算Ⅴ（14）"),IF(OR(AO134="○",AO134="令和６年度中に満たす"),"入力済","未入力"),"")</f>
        <v/>
      </c>
      <c r="BH134" s="1323" t="str">
        <f t="shared" ref="BH134" si="326">IF(OR(T134="新加算Ⅰ",T134="新加算Ⅱ",T134="新加算Ⅲ",T134="新加算Ⅴ（１）",T134="新加算Ⅴ（３）",T134="新加算Ⅴ（８）"),IF(OR(AP134="○",AP134="令和６年度中に満たす"),"入力済","未入力"),"")</f>
        <v/>
      </c>
      <c r="BI134" s="1325" t="str">
        <f t="shared" ref="BI134" si="327">IF(OR(T134="新加算Ⅰ",T134="新加算Ⅱ",T134="新加算Ⅴ（１）",T134="新加算Ⅴ（２）",T134="新加算Ⅴ（３）",T134="新加算Ⅴ（４）",T134="新加算Ⅴ（５）",T134="新加算Ⅴ（６）",T134="新加算Ⅴ（７）",T134="新加算Ⅴ（９）",T134="新加算Ⅴ（10）",T134="新加算Ⅴ（12）"),1,"")</f>
        <v/>
      </c>
      <c r="BJ134" s="1303" t="str">
        <f>IF(OR(T134="新加算Ⅰ",T134="新加算Ⅴ（１）",T134="新加算Ⅴ（２）",T134="新加算Ⅴ（５）",T134="新加算Ⅴ（７）",T134="新加算Ⅴ（10）"),IF(AR134="","未入力","入力済"),"")</f>
        <v/>
      </c>
      <c r="BK134" s="452" t="str">
        <f>G134</f>
        <v/>
      </c>
    </row>
    <row r="135" spans="1:63" ht="15" customHeight="1">
      <c r="A135" s="1267"/>
      <c r="B135" s="1235"/>
      <c r="C135" s="1236"/>
      <c r="D135" s="1236"/>
      <c r="E135" s="1236"/>
      <c r="F135" s="1237"/>
      <c r="G135" s="1252"/>
      <c r="H135" s="1252"/>
      <c r="I135" s="1252"/>
      <c r="J135" s="1415"/>
      <c r="K135" s="1252"/>
      <c r="L135" s="1276"/>
      <c r="M135" s="1371" t="str">
        <f>IF('別紙様式2-2（４・５月分）'!P105="","",'別紙様式2-2（４・５月分）'!P105)</f>
        <v/>
      </c>
      <c r="N135" s="1392"/>
      <c r="O135" s="1398"/>
      <c r="P135" s="1399"/>
      <c r="Q135" s="1400"/>
      <c r="R135" s="1402"/>
      <c r="S135" s="1404"/>
      <c r="T135" s="1406"/>
      <c r="U135" s="1408"/>
      <c r="V135" s="1410"/>
      <c r="W135" s="1348"/>
      <c r="X135" s="1350"/>
      <c r="Y135" s="1348"/>
      <c r="Z135" s="1350"/>
      <c r="AA135" s="1348"/>
      <c r="AB135" s="1350"/>
      <c r="AC135" s="1348"/>
      <c r="AD135" s="1350"/>
      <c r="AE135" s="1350"/>
      <c r="AF135" s="1350"/>
      <c r="AG135" s="1352"/>
      <c r="AH135" s="1354"/>
      <c r="AI135" s="1356"/>
      <c r="AJ135" s="1358"/>
      <c r="AK135" s="1342"/>
      <c r="AL135" s="1346"/>
      <c r="AM135" s="1332"/>
      <c r="AN135" s="1338"/>
      <c r="AO135" s="1334"/>
      <c r="AP135" s="1334"/>
      <c r="AQ135" s="1336"/>
      <c r="AR135" s="1316"/>
      <c r="AS135" s="1302"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4"/>
      <c r="AU135" s="1303"/>
      <c r="AV135" s="1304" t="str">
        <f>IF('別紙様式2-2（４・５月分）'!N105="","",'別紙様式2-2（４・５月分）'!N105)</f>
        <v/>
      </c>
      <c r="AW135" s="1305"/>
      <c r="AX135" s="1306"/>
      <c r="AY135" s="1222"/>
      <c r="AZ135" s="1222"/>
      <c r="BA135" s="1222"/>
      <c r="BB135" s="1222"/>
      <c r="BC135" s="1222"/>
      <c r="BD135" s="1222"/>
      <c r="BE135" s="1222"/>
      <c r="BF135" s="1222"/>
      <c r="BG135" s="1222"/>
      <c r="BH135" s="1324"/>
      <c r="BI135" s="1326"/>
      <c r="BJ135" s="1303"/>
      <c r="BK135" s="452" t="str">
        <f>G134</f>
        <v/>
      </c>
    </row>
    <row r="136" spans="1:63" ht="15" customHeight="1">
      <c r="A136" s="1295"/>
      <c r="B136" s="1235"/>
      <c r="C136" s="1236"/>
      <c r="D136" s="1236"/>
      <c r="E136" s="1236"/>
      <c r="F136" s="1237"/>
      <c r="G136" s="1252"/>
      <c r="H136" s="1252"/>
      <c r="I136" s="1252"/>
      <c r="J136" s="1415"/>
      <c r="K136" s="1252"/>
      <c r="L136" s="1276"/>
      <c r="M136" s="1372"/>
      <c r="N136" s="1393"/>
      <c r="O136" s="1373" t="s">
        <v>2025</v>
      </c>
      <c r="P136" s="1375" t="str">
        <f>IFERROR(VLOOKUP('別紙様式2-2（４・５月分）'!AQ104,【参考】数式用!$AR$5:$AT$22,3,FALSE),"")</f>
        <v/>
      </c>
      <c r="Q136" s="1377" t="s">
        <v>2036</v>
      </c>
      <c r="R136" s="1379" t="str">
        <f>IFERROR(VLOOKUP(K134,【参考】数式用!$A$5:$AB$37,MATCH(P136,【参考】数式用!$B$4:$AB$4,0)+1,0),"")</f>
        <v/>
      </c>
      <c r="S136" s="1381" t="s">
        <v>161</v>
      </c>
      <c r="T136" s="1383"/>
      <c r="U136" s="1385" t="str">
        <f>IFERROR(VLOOKUP(K134,【参考】数式用!$A$5:$AB$37,MATCH(T136,【参考】数式用!$B$4:$AB$4,0)+1,0),"")</f>
        <v/>
      </c>
      <c r="V136" s="1387" t="s">
        <v>15</v>
      </c>
      <c r="W136" s="1389">
        <v>7</v>
      </c>
      <c r="X136" s="1363" t="s">
        <v>10</v>
      </c>
      <c r="Y136" s="1389">
        <v>4</v>
      </c>
      <c r="Z136" s="1363" t="s">
        <v>38</v>
      </c>
      <c r="AA136" s="1389">
        <v>8</v>
      </c>
      <c r="AB136" s="1363" t="s">
        <v>10</v>
      </c>
      <c r="AC136" s="1389">
        <v>3</v>
      </c>
      <c r="AD136" s="1363" t="s">
        <v>13</v>
      </c>
      <c r="AE136" s="1363" t="s">
        <v>20</v>
      </c>
      <c r="AF136" s="1363">
        <f>IF(W136&gt;=1,(AA136*12+AC136)-(W136*12+Y136)+1,"")</f>
        <v>12</v>
      </c>
      <c r="AG136" s="1359" t="s">
        <v>33</v>
      </c>
      <c r="AH136" s="1365" t="str">
        <f t="shared" ref="AH136" si="329">IFERROR(ROUNDDOWN(ROUND(L134*U136,0),0)*AF136,"")</f>
        <v/>
      </c>
      <c r="AI136" s="1367" t="str">
        <f t="shared" ref="AI136" si="330">IFERROR(ROUNDDOWN(ROUND((L134*(U136-AW134)),0),0)*AF136,"")</f>
        <v/>
      </c>
      <c r="AJ136" s="1369">
        <f>IFERROR(IF(OR(M134="",M135="",M137=""),0,ROUNDDOWN(ROUNDDOWN(ROUND(L134*VLOOKUP(K134,【参考】数式用!$A$5:$AB$37,MATCH("新加算Ⅳ",【参考】数式用!$B$4:$AB$4,0)+1,0),0),0)*AF136*0.5,0)),"")</f>
        <v>0</v>
      </c>
      <c r="AK136" s="1339" t="str">
        <f t="shared" ref="AK136" si="331">IF(T136&lt;&gt;"","新規に適用","")</f>
        <v/>
      </c>
      <c r="AL136" s="1343">
        <f>IFERROR(IF(OR(M137="ベア加算",M137=""),0, IF(OR(T134="新加算Ⅰ",T134="新加算Ⅱ",T134="新加算Ⅲ",T134="新加算Ⅳ"),0,ROUNDDOWN(ROUND(L134*VLOOKUP(K134,【参考】数式用!$A$5:$I$37,MATCH("ベア加算",【参考】数式用!$B$4:$I$4,0)+1,0),0),0)*AF136)),"")</f>
        <v>0</v>
      </c>
      <c r="AM136" s="1313" t="str">
        <f>IF(AND(T136&lt;&gt;"",AM134=""),"新規に適用",IF(AND(T136&lt;&gt;"",AM134&lt;&gt;""),"継続で適用",""))</f>
        <v/>
      </c>
      <c r="AN136" s="1313" t="str">
        <f>IF(AND(T136&lt;&gt;"",AN134=""),"新規に適用",IF(AND(T136&lt;&gt;"",AN134&lt;&gt;""),"継続で適用",""))</f>
        <v/>
      </c>
      <c r="AO136" s="1361"/>
      <c r="AP136" s="1313" t="str">
        <f>IF(AND(T136&lt;&gt;"",AP134=""),"新規に適用",IF(AND(T136&lt;&gt;"",AP134&lt;&gt;""),"継続で適用",""))</f>
        <v/>
      </c>
      <c r="AQ136" s="1317" t="str">
        <f t="shared" si="243"/>
        <v/>
      </c>
      <c r="AR136" s="1313" t="str">
        <f>IF(AND(T136&lt;&gt;"",AR134=""),"新規に適用",IF(AND(T136&lt;&gt;"",AR134&lt;&gt;""),"継続で適用",""))</f>
        <v/>
      </c>
      <c r="AS136" s="1302"/>
      <c r="AT136" s="554"/>
      <c r="AU136" s="1303" t="str">
        <f>IF(K134&lt;&gt;"","V列に色付け","")</f>
        <v/>
      </c>
      <c r="AV136" s="1304"/>
      <c r="AW136" s="1305"/>
      <c r="AX136"/>
      <c r="AY136"/>
      <c r="AZ136"/>
      <c r="BA136"/>
      <c r="BB136"/>
      <c r="BC136"/>
      <c r="BD136"/>
      <c r="BE136"/>
      <c r="BF136"/>
      <c r="BG136"/>
      <c r="BH136"/>
      <c r="BI136"/>
      <c r="BJ136"/>
      <c r="BK136" s="452" t="str">
        <f>G134</f>
        <v/>
      </c>
    </row>
    <row r="137" spans="1:63" ht="30" customHeight="1" thickBot="1">
      <c r="A137" s="1268"/>
      <c r="B137" s="1411"/>
      <c r="C137" s="1412"/>
      <c r="D137" s="1412"/>
      <c r="E137" s="1412"/>
      <c r="F137" s="1413"/>
      <c r="G137" s="1253"/>
      <c r="H137" s="1253"/>
      <c r="I137" s="1253"/>
      <c r="J137" s="1416"/>
      <c r="K137" s="1253"/>
      <c r="L137" s="1277"/>
      <c r="M137" s="553" t="str">
        <f>IF('別紙様式2-2（４・５月分）'!P106="","",'別紙様式2-2（４・５月分）'!P106)</f>
        <v/>
      </c>
      <c r="N137" s="1394"/>
      <c r="O137" s="1374"/>
      <c r="P137" s="1376"/>
      <c r="Q137" s="1378"/>
      <c r="R137" s="1380"/>
      <c r="S137" s="1382"/>
      <c r="T137" s="1384"/>
      <c r="U137" s="1386"/>
      <c r="V137" s="1388"/>
      <c r="W137" s="1390"/>
      <c r="X137" s="1364"/>
      <c r="Y137" s="1390"/>
      <c r="Z137" s="1364"/>
      <c r="AA137" s="1390"/>
      <c r="AB137" s="1364"/>
      <c r="AC137" s="1390"/>
      <c r="AD137" s="1364"/>
      <c r="AE137" s="1364"/>
      <c r="AF137" s="1364"/>
      <c r="AG137" s="1360"/>
      <c r="AH137" s="1366"/>
      <c r="AI137" s="1368"/>
      <c r="AJ137" s="1370"/>
      <c r="AK137" s="1340"/>
      <c r="AL137" s="1344"/>
      <c r="AM137" s="1314"/>
      <c r="AN137" s="1314"/>
      <c r="AO137" s="1362"/>
      <c r="AP137" s="1314"/>
      <c r="AQ137" s="1318"/>
      <c r="AR137" s="1314"/>
      <c r="AS137" s="490"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4"/>
      <c r="AU137" s="1303"/>
      <c r="AV137" s="555" t="str">
        <f>IF('別紙様式2-2（４・５月分）'!N106="","",'別紙様式2-2（４・５月分）'!N106)</f>
        <v/>
      </c>
      <c r="AW137" s="1305"/>
      <c r="AX137"/>
      <c r="AY137"/>
      <c r="AZ137"/>
      <c r="BA137"/>
      <c r="BB137"/>
      <c r="BC137"/>
      <c r="BD137"/>
      <c r="BE137"/>
      <c r="BF137"/>
      <c r="BG137"/>
      <c r="BH137"/>
      <c r="BI137"/>
      <c r="BJ137"/>
      <c r="BK137" s="452" t="str">
        <f>G134</f>
        <v/>
      </c>
    </row>
    <row r="138" spans="1:63" ht="30" customHeight="1">
      <c r="A138" s="1293">
        <v>32</v>
      </c>
      <c r="B138" s="1232" t="str">
        <f>IF(基本情報入力シート!C85="","",基本情報入力シート!C85)</f>
        <v/>
      </c>
      <c r="C138" s="1233"/>
      <c r="D138" s="1233"/>
      <c r="E138" s="1233"/>
      <c r="F138" s="1234"/>
      <c r="G138" s="1251" t="str">
        <f>IF(基本情報入力シート!M85="","",基本情報入力シート!M85)</f>
        <v/>
      </c>
      <c r="H138" s="1251" t="str">
        <f>IF(基本情報入力シート!R85="","",基本情報入力シート!R85)</f>
        <v/>
      </c>
      <c r="I138" s="1251" t="str">
        <f>IF(基本情報入力シート!W85="","",基本情報入力シート!W85)</f>
        <v/>
      </c>
      <c r="J138" s="1414" t="str">
        <f>IF(基本情報入力シート!X85="","",基本情報入力シート!X85)</f>
        <v/>
      </c>
      <c r="K138" s="1251" t="str">
        <f>IF(基本情報入力シート!Y85="","",基本情報入力シート!Y85)</f>
        <v/>
      </c>
      <c r="L138" s="1275" t="str">
        <f>IF(基本情報入力シート!AB85="","",基本情報入力シート!AB85)</f>
        <v/>
      </c>
      <c r="M138" s="550" t="str">
        <f>IF('別紙様式2-2（４・５月分）'!P107="","",'別紙様式2-2（４・５月分）'!P107)</f>
        <v/>
      </c>
      <c r="N138" s="1391" t="str">
        <f>IF(SUM('別紙様式2-2（４・５月分）'!Q107:Q109)=0,"",SUM('別紙様式2-2（４・５月分）'!Q107:Q109))</f>
        <v/>
      </c>
      <c r="O138" s="1395" t="str">
        <f>IFERROR(VLOOKUP('別紙様式2-2（４・５月分）'!AQ107,【参考】数式用!$AR$5:$AS$22,2,FALSE),"")</f>
        <v/>
      </c>
      <c r="P138" s="1396"/>
      <c r="Q138" s="1397"/>
      <c r="R138" s="1401" t="str">
        <f>IFERROR(VLOOKUP(K138,【参考】数式用!$A$5:$AB$37,MATCH(O138,【参考】数式用!$B$4:$AB$4,0)+1,0),"")</f>
        <v/>
      </c>
      <c r="S138" s="1403" t="s">
        <v>2021</v>
      </c>
      <c r="T138" s="1405"/>
      <c r="U138" s="1407" t="str">
        <f>IFERROR(VLOOKUP(K138,【参考】数式用!$A$5:$AB$37,MATCH(T138,【参考】数式用!$B$4:$AB$4,0)+1,0),"")</f>
        <v/>
      </c>
      <c r="V138" s="1409" t="s">
        <v>15</v>
      </c>
      <c r="W138" s="1347">
        <v>6</v>
      </c>
      <c r="X138" s="1349" t="s">
        <v>10</v>
      </c>
      <c r="Y138" s="1347">
        <v>6</v>
      </c>
      <c r="Z138" s="1349" t="s">
        <v>38</v>
      </c>
      <c r="AA138" s="1347">
        <v>7</v>
      </c>
      <c r="AB138" s="1349" t="s">
        <v>10</v>
      </c>
      <c r="AC138" s="1347">
        <v>3</v>
      </c>
      <c r="AD138" s="1349" t="s">
        <v>13</v>
      </c>
      <c r="AE138" s="1349" t="s">
        <v>20</v>
      </c>
      <c r="AF138" s="1349">
        <f>IF(W138&gt;=1,(AA138*12+AC138)-(W138*12+Y138)+1,"")</f>
        <v>10</v>
      </c>
      <c r="AG138" s="1351" t="s">
        <v>33</v>
      </c>
      <c r="AH138" s="1353" t="str">
        <f t="shared" ref="AH138" si="333">IFERROR(ROUNDDOWN(ROUND(L138*U138,0),0)*AF138,"")</f>
        <v/>
      </c>
      <c r="AI138" s="1355" t="str">
        <f t="shared" ref="AI138" si="334">IFERROR(ROUNDDOWN(ROUND((L138*(U138-AW138)),0),0)*AF138,"")</f>
        <v/>
      </c>
      <c r="AJ138" s="1357">
        <f>IFERROR(IF(OR(M138="",M139="",M141=""),0,ROUNDDOWN(ROUNDDOWN(ROUND(L138*VLOOKUP(K138,【参考】数式用!$A$5:$AB$37,MATCH("新加算Ⅳ",【参考】数式用!$B$4:$AB$4,0)+1,0),0),0)*AF138*0.5,0)),"")</f>
        <v>0</v>
      </c>
      <c r="AK138" s="1341"/>
      <c r="AL138" s="1345">
        <f>IFERROR(IF(OR(M141="ベア加算",M141=""),0, IF(OR(T138="新加算Ⅰ",T138="新加算Ⅱ",T138="新加算Ⅲ",T138="新加算Ⅳ"),ROUNDDOWN(ROUND(L138*VLOOKUP(K138,【参考】数式用!$A$5:$I$37,MATCH("ベア加算",【参考】数式用!$B$4:$I$4,0)+1,0),0),0)*AF138,0)),"")</f>
        <v>0</v>
      </c>
      <c r="AM138" s="1331"/>
      <c r="AN138" s="1337"/>
      <c r="AO138" s="1333"/>
      <c r="AP138" s="1333"/>
      <c r="AQ138" s="1335"/>
      <c r="AR138" s="1315"/>
      <c r="AS138" s="465" t="str">
        <f t="shared" ref="AS138" si="335">IF(AU138="","",IF(U138&lt;N138,"！加算の要件上は問題ありませんが、令和６年４・５月と比較して令和６年６月に加算率が下がる計画になっています。",""))</f>
        <v/>
      </c>
      <c r="AT138" s="554"/>
      <c r="AU138" s="1303" t="str">
        <f>IF(K138&lt;&gt;"","V列に色付け","")</f>
        <v/>
      </c>
      <c r="AV138" s="555" t="str">
        <f>IF('別紙様式2-2（４・５月分）'!N107="","",'別紙様式2-2（４・５月分）'!N107)</f>
        <v/>
      </c>
      <c r="AW138" s="1305" t="str">
        <f>IF(SUM('別紙様式2-2（４・５月分）'!O107:O109)=0,"",SUM('別紙様式2-2（４・５月分）'!O107:O109))</f>
        <v/>
      </c>
      <c r="AX138" s="1306" t="str">
        <f>IFERROR(VLOOKUP(K138,【参考】数式用!$AH$2:$AI$34,2,FALSE),"")</f>
        <v/>
      </c>
      <c r="AY138" s="1222" t="s">
        <v>1959</v>
      </c>
      <c r="AZ138" s="1222" t="s">
        <v>1960</v>
      </c>
      <c r="BA138" s="1222" t="s">
        <v>1961</v>
      </c>
      <c r="BB138" s="1222" t="s">
        <v>1962</v>
      </c>
      <c r="BC138" s="1222" t="str">
        <f>IF(AND(O138&lt;&gt;"新加算Ⅰ",O138&lt;&gt;"新加算Ⅱ",O138&lt;&gt;"新加算Ⅲ",O138&lt;&gt;"新加算Ⅳ"),O138,IF(P140&lt;&gt;"",P140,""))</f>
        <v/>
      </c>
      <c r="BD138" s="1222"/>
      <c r="BE138" s="1222" t="str">
        <f t="shared" ref="BE138" si="336">IF(AL138&lt;&gt;0,IF(AM138="○","入力済","未入力"),"")</f>
        <v/>
      </c>
      <c r="BF138" s="1222"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2" t="str">
        <f>IF(OR(T138="新加算Ⅴ（７）",T138="新加算Ⅴ（９）",T138="新加算Ⅴ（10）",T138="新加算Ⅴ（12）",T138="新加算Ⅴ（13）",T138="新加算Ⅴ（14）"),IF(OR(AO138="○",AO138="令和６年度中に満たす"),"入力済","未入力"),"")</f>
        <v/>
      </c>
      <c r="BH138" s="1323" t="str">
        <f t="shared" ref="BH138" si="337">IF(OR(T138="新加算Ⅰ",T138="新加算Ⅱ",T138="新加算Ⅲ",T138="新加算Ⅴ（１）",T138="新加算Ⅴ（３）",T138="新加算Ⅴ（８）"),IF(OR(AP138="○",AP138="令和６年度中に満たす"),"入力済","未入力"),"")</f>
        <v/>
      </c>
      <c r="BI138" s="1325" t="str">
        <f t="shared" ref="BI138" si="338">IF(OR(T138="新加算Ⅰ",T138="新加算Ⅱ",T138="新加算Ⅴ（１）",T138="新加算Ⅴ（２）",T138="新加算Ⅴ（３）",T138="新加算Ⅴ（４）",T138="新加算Ⅴ（５）",T138="新加算Ⅴ（６）",T138="新加算Ⅴ（７）",T138="新加算Ⅴ（９）",T138="新加算Ⅴ（10）",T138="新加算Ⅴ（12）"),1,"")</f>
        <v/>
      </c>
      <c r="BJ138" s="1303" t="str">
        <f>IF(OR(T138="新加算Ⅰ",T138="新加算Ⅴ（１）",T138="新加算Ⅴ（２）",T138="新加算Ⅴ（５）",T138="新加算Ⅴ（７）",T138="新加算Ⅴ（10）"),IF(AR138="","未入力","入力済"),"")</f>
        <v/>
      </c>
      <c r="BK138" s="452" t="str">
        <f>G138</f>
        <v/>
      </c>
    </row>
    <row r="139" spans="1:63" ht="15" customHeight="1">
      <c r="A139" s="1267"/>
      <c r="B139" s="1235"/>
      <c r="C139" s="1236"/>
      <c r="D139" s="1236"/>
      <c r="E139" s="1236"/>
      <c r="F139" s="1237"/>
      <c r="G139" s="1252"/>
      <c r="H139" s="1252"/>
      <c r="I139" s="1252"/>
      <c r="J139" s="1415"/>
      <c r="K139" s="1252"/>
      <c r="L139" s="1276"/>
      <c r="M139" s="1371" t="str">
        <f>IF('別紙様式2-2（４・５月分）'!P108="","",'別紙様式2-2（４・５月分）'!P108)</f>
        <v/>
      </c>
      <c r="N139" s="1392"/>
      <c r="O139" s="1398"/>
      <c r="P139" s="1399"/>
      <c r="Q139" s="1400"/>
      <c r="R139" s="1402"/>
      <c r="S139" s="1404"/>
      <c r="T139" s="1406"/>
      <c r="U139" s="1408"/>
      <c r="V139" s="1410"/>
      <c r="W139" s="1348"/>
      <c r="X139" s="1350"/>
      <c r="Y139" s="1348"/>
      <c r="Z139" s="1350"/>
      <c r="AA139" s="1348"/>
      <c r="AB139" s="1350"/>
      <c r="AC139" s="1348"/>
      <c r="AD139" s="1350"/>
      <c r="AE139" s="1350"/>
      <c r="AF139" s="1350"/>
      <c r="AG139" s="1352"/>
      <c r="AH139" s="1354"/>
      <c r="AI139" s="1356"/>
      <c r="AJ139" s="1358"/>
      <c r="AK139" s="1342"/>
      <c r="AL139" s="1346"/>
      <c r="AM139" s="1332"/>
      <c r="AN139" s="1338"/>
      <c r="AO139" s="1334"/>
      <c r="AP139" s="1334"/>
      <c r="AQ139" s="1336"/>
      <c r="AR139" s="1316"/>
      <c r="AS139" s="1302"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4"/>
      <c r="AU139" s="1303"/>
      <c r="AV139" s="1304" t="str">
        <f>IF('別紙様式2-2（４・５月分）'!N108="","",'別紙様式2-2（４・５月分）'!N108)</f>
        <v/>
      </c>
      <c r="AW139" s="1305"/>
      <c r="AX139" s="1306"/>
      <c r="AY139" s="1222"/>
      <c r="AZ139" s="1222"/>
      <c r="BA139" s="1222"/>
      <c r="BB139" s="1222"/>
      <c r="BC139" s="1222"/>
      <c r="BD139" s="1222"/>
      <c r="BE139" s="1222"/>
      <c r="BF139" s="1222"/>
      <c r="BG139" s="1222"/>
      <c r="BH139" s="1324"/>
      <c r="BI139" s="1326"/>
      <c r="BJ139" s="1303"/>
      <c r="BK139" s="452" t="str">
        <f>G138</f>
        <v/>
      </c>
    </row>
    <row r="140" spans="1:63" ht="15" customHeight="1">
      <c r="A140" s="1295"/>
      <c r="B140" s="1235"/>
      <c r="C140" s="1236"/>
      <c r="D140" s="1236"/>
      <c r="E140" s="1236"/>
      <c r="F140" s="1237"/>
      <c r="G140" s="1252"/>
      <c r="H140" s="1252"/>
      <c r="I140" s="1252"/>
      <c r="J140" s="1415"/>
      <c r="K140" s="1252"/>
      <c r="L140" s="1276"/>
      <c r="M140" s="1372"/>
      <c r="N140" s="1393"/>
      <c r="O140" s="1373" t="s">
        <v>2025</v>
      </c>
      <c r="P140" s="1375" t="str">
        <f>IFERROR(VLOOKUP('別紙様式2-2（４・５月分）'!AQ107,【参考】数式用!$AR$5:$AT$22,3,FALSE),"")</f>
        <v/>
      </c>
      <c r="Q140" s="1377" t="s">
        <v>2036</v>
      </c>
      <c r="R140" s="1379" t="str">
        <f>IFERROR(VLOOKUP(K138,【参考】数式用!$A$5:$AB$37,MATCH(P140,【参考】数式用!$B$4:$AB$4,0)+1,0),"")</f>
        <v/>
      </c>
      <c r="S140" s="1381" t="s">
        <v>161</v>
      </c>
      <c r="T140" s="1383"/>
      <c r="U140" s="1385" t="str">
        <f>IFERROR(VLOOKUP(K138,【参考】数式用!$A$5:$AB$37,MATCH(T140,【参考】数式用!$B$4:$AB$4,0)+1,0),"")</f>
        <v/>
      </c>
      <c r="V140" s="1387" t="s">
        <v>15</v>
      </c>
      <c r="W140" s="1389">
        <v>7</v>
      </c>
      <c r="X140" s="1363" t="s">
        <v>10</v>
      </c>
      <c r="Y140" s="1389">
        <v>4</v>
      </c>
      <c r="Z140" s="1363" t="s">
        <v>38</v>
      </c>
      <c r="AA140" s="1389">
        <v>8</v>
      </c>
      <c r="AB140" s="1363" t="s">
        <v>10</v>
      </c>
      <c r="AC140" s="1389">
        <v>3</v>
      </c>
      <c r="AD140" s="1363" t="s">
        <v>13</v>
      </c>
      <c r="AE140" s="1363" t="s">
        <v>20</v>
      </c>
      <c r="AF140" s="1363">
        <f>IF(W140&gt;=1,(AA140*12+AC140)-(W140*12+Y140)+1,"")</f>
        <v>12</v>
      </c>
      <c r="AG140" s="1359" t="s">
        <v>33</v>
      </c>
      <c r="AH140" s="1365" t="str">
        <f t="shared" ref="AH140" si="340">IFERROR(ROUNDDOWN(ROUND(L138*U140,0),0)*AF140,"")</f>
        <v/>
      </c>
      <c r="AI140" s="1367" t="str">
        <f t="shared" ref="AI140" si="341">IFERROR(ROUNDDOWN(ROUND((L138*(U140-AW138)),0),0)*AF140,"")</f>
        <v/>
      </c>
      <c r="AJ140" s="1369">
        <f>IFERROR(IF(OR(M138="",M139="",M141=""),0,ROUNDDOWN(ROUNDDOWN(ROUND(L138*VLOOKUP(K138,【参考】数式用!$A$5:$AB$37,MATCH("新加算Ⅳ",【参考】数式用!$B$4:$AB$4,0)+1,0),0),0)*AF140*0.5,0)),"")</f>
        <v>0</v>
      </c>
      <c r="AK140" s="1339" t="str">
        <f t="shared" ref="AK140" si="342">IF(T140&lt;&gt;"","新規に適用","")</f>
        <v/>
      </c>
      <c r="AL140" s="1343">
        <f>IFERROR(IF(OR(M141="ベア加算",M141=""),0, IF(OR(T138="新加算Ⅰ",T138="新加算Ⅱ",T138="新加算Ⅲ",T138="新加算Ⅳ"),0,ROUNDDOWN(ROUND(L138*VLOOKUP(K138,【参考】数式用!$A$5:$I$37,MATCH("ベア加算",【参考】数式用!$B$4:$I$4,0)+1,0),0),0)*AF140)),"")</f>
        <v>0</v>
      </c>
      <c r="AM140" s="1313" t="str">
        <f>IF(AND(T140&lt;&gt;"",AM138=""),"新規に適用",IF(AND(T140&lt;&gt;"",AM138&lt;&gt;""),"継続で適用",""))</f>
        <v/>
      </c>
      <c r="AN140" s="1313" t="str">
        <f>IF(AND(T140&lt;&gt;"",AN138=""),"新規に適用",IF(AND(T140&lt;&gt;"",AN138&lt;&gt;""),"継続で適用",""))</f>
        <v/>
      </c>
      <c r="AO140" s="1361"/>
      <c r="AP140" s="1313" t="str">
        <f>IF(AND(T140&lt;&gt;"",AP138=""),"新規に適用",IF(AND(T140&lt;&gt;"",AP138&lt;&gt;""),"継続で適用",""))</f>
        <v/>
      </c>
      <c r="AQ140" s="1317" t="str">
        <f t="shared" si="243"/>
        <v/>
      </c>
      <c r="AR140" s="1313" t="str">
        <f>IF(AND(T140&lt;&gt;"",AR138=""),"新規に適用",IF(AND(T140&lt;&gt;"",AR138&lt;&gt;""),"継続で適用",""))</f>
        <v/>
      </c>
      <c r="AS140" s="1302"/>
      <c r="AT140" s="554"/>
      <c r="AU140" s="1303" t="str">
        <f>IF(K138&lt;&gt;"","V列に色付け","")</f>
        <v/>
      </c>
      <c r="AV140" s="1304"/>
      <c r="AW140" s="1305"/>
      <c r="AX140"/>
      <c r="AY140"/>
      <c r="AZ140"/>
      <c r="BA140"/>
      <c r="BB140"/>
      <c r="BC140"/>
      <c r="BD140"/>
      <c r="BE140"/>
      <c r="BF140"/>
      <c r="BG140"/>
      <c r="BH140"/>
      <c r="BI140"/>
      <c r="BJ140"/>
      <c r="BK140" s="452" t="str">
        <f>G138</f>
        <v/>
      </c>
    </row>
    <row r="141" spans="1:63" ht="30" customHeight="1" thickBot="1">
      <c r="A141" s="1268"/>
      <c r="B141" s="1411"/>
      <c r="C141" s="1412"/>
      <c r="D141" s="1412"/>
      <c r="E141" s="1412"/>
      <c r="F141" s="1413"/>
      <c r="G141" s="1253"/>
      <c r="H141" s="1253"/>
      <c r="I141" s="1253"/>
      <c r="J141" s="1416"/>
      <c r="K141" s="1253"/>
      <c r="L141" s="1277"/>
      <c r="M141" s="553" t="str">
        <f>IF('別紙様式2-2（４・５月分）'!P109="","",'別紙様式2-2（４・５月分）'!P109)</f>
        <v/>
      </c>
      <c r="N141" s="1394"/>
      <c r="O141" s="1374"/>
      <c r="P141" s="1376"/>
      <c r="Q141" s="1378"/>
      <c r="R141" s="1380"/>
      <c r="S141" s="1382"/>
      <c r="T141" s="1384"/>
      <c r="U141" s="1386"/>
      <c r="V141" s="1388"/>
      <c r="W141" s="1390"/>
      <c r="X141" s="1364"/>
      <c r="Y141" s="1390"/>
      <c r="Z141" s="1364"/>
      <c r="AA141" s="1390"/>
      <c r="AB141" s="1364"/>
      <c r="AC141" s="1390"/>
      <c r="AD141" s="1364"/>
      <c r="AE141" s="1364"/>
      <c r="AF141" s="1364"/>
      <c r="AG141" s="1360"/>
      <c r="AH141" s="1366"/>
      <c r="AI141" s="1368"/>
      <c r="AJ141" s="1370"/>
      <c r="AK141" s="1340"/>
      <c r="AL141" s="1344"/>
      <c r="AM141" s="1314"/>
      <c r="AN141" s="1314"/>
      <c r="AO141" s="1362"/>
      <c r="AP141" s="1314"/>
      <c r="AQ141" s="1318"/>
      <c r="AR141" s="1314"/>
      <c r="AS141" s="490"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4"/>
      <c r="AU141" s="1303"/>
      <c r="AV141" s="555" t="str">
        <f>IF('別紙様式2-2（４・５月分）'!N109="","",'別紙様式2-2（４・５月分）'!N109)</f>
        <v/>
      </c>
      <c r="AW141" s="1305"/>
      <c r="AX141"/>
      <c r="AY141"/>
      <c r="AZ141"/>
      <c r="BA141"/>
      <c r="BB141"/>
      <c r="BC141"/>
      <c r="BD141"/>
      <c r="BE141"/>
      <c r="BF141"/>
      <c r="BG141"/>
      <c r="BH141"/>
      <c r="BI141"/>
      <c r="BJ141"/>
      <c r="BK141" s="452" t="str">
        <f>G138</f>
        <v/>
      </c>
    </row>
    <row r="142" spans="1:63" ht="30" customHeight="1">
      <c r="A142" s="1266">
        <v>33</v>
      </c>
      <c r="B142" s="1235" t="str">
        <f>IF(基本情報入力シート!C86="","",基本情報入力シート!C86)</f>
        <v/>
      </c>
      <c r="C142" s="1236"/>
      <c r="D142" s="1236"/>
      <c r="E142" s="1236"/>
      <c r="F142" s="1237"/>
      <c r="G142" s="1252" t="str">
        <f>IF(基本情報入力シート!M86="","",基本情報入力シート!M86)</f>
        <v/>
      </c>
      <c r="H142" s="1252" t="str">
        <f>IF(基本情報入力シート!R86="","",基本情報入力シート!R86)</f>
        <v/>
      </c>
      <c r="I142" s="1252" t="str">
        <f>IF(基本情報入力シート!W86="","",基本情報入力シート!W86)</f>
        <v/>
      </c>
      <c r="J142" s="1415" t="str">
        <f>IF(基本情報入力シート!X86="","",基本情報入力シート!X86)</f>
        <v/>
      </c>
      <c r="K142" s="1252" t="str">
        <f>IF(基本情報入力シート!Y86="","",基本情報入力シート!Y86)</f>
        <v/>
      </c>
      <c r="L142" s="1276" t="str">
        <f>IF(基本情報入力シート!AB86="","",基本情報入力シート!AB86)</f>
        <v/>
      </c>
      <c r="M142" s="550" t="str">
        <f>IF('別紙様式2-2（４・５月分）'!P110="","",'別紙様式2-2（４・５月分）'!P110)</f>
        <v/>
      </c>
      <c r="N142" s="1391" t="str">
        <f>IF(SUM('別紙様式2-2（４・５月分）'!Q110:Q112)=0,"",SUM('別紙様式2-2（４・５月分）'!Q110:Q112))</f>
        <v/>
      </c>
      <c r="O142" s="1395" t="str">
        <f>IFERROR(VLOOKUP('別紙様式2-2（４・５月分）'!AQ110,【参考】数式用!$AR$5:$AS$22,2,FALSE),"")</f>
        <v/>
      </c>
      <c r="P142" s="1396"/>
      <c r="Q142" s="1397"/>
      <c r="R142" s="1401" t="str">
        <f>IFERROR(VLOOKUP(K142,【参考】数式用!$A$5:$AB$37,MATCH(O142,【参考】数式用!$B$4:$AB$4,0)+1,0),"")</f>
        <v/>
      </c>
      <c r="S142" s="1403" t="s">
        <v>2021</v>
      </c>
      <c r="T142" s="1405"/>
      <c r="U142" s="1407" t="str">
        <f>IFERROR(VLOOKUP(K142,【参考】数式用!$A$5:$AB$37,MATCH(T142,【参考】数式用!$B$4:$AB$4,0)+1,0),"")</f>
        <v/>
      </c>
      <c r="V142" s="1409" t="s">
        <v>15</v>
      </c>
      <c r="W142" s="1347">
        <v>6</v>
      </c>
      <c r="X142" s="1349" t="s">
        <v>10</v>
      </c>
      <c r="Y142" s="1347">
        <v>6</v>
      </c>
      <c r="Z142" s="1349" t="s">
        <v>38</v>
      </c>
      <c r="AA142" s="1347">
        <v>7</v>
      </c>
      <c r="AB142" s="1349" t="s">
        <v>10</v>
      </c>
      <c r="AC142" s="1347">
        <v>3</v>
      </c>
      <c r="AD142" s="1349" t="s">
        <v>13</v>
      </c>
      <c r="AE142" s="1349" t="s">
        <v>20</v>
      </c>
      <c r="AF142" s="1349">
        <f>IF(W142&gt;=1,(AA142*12+AC142)-(W142*12+Y142)+1,"")</f>
        <v>10</v>
      </c>
      <c r="AG142" s="1351" t="s">
        <v>33</v>
      </c>
      <c r="AH142" s="1353" t="str">
        <f t="shared" ref="AH142" si="344">IFERROR(ROUNDDOWN(ROUND(L142*U142,0),0)*AF142,"")</f>
        <v/>
      </c>
      <c r="AI142" s="1355" t="str">
        <f t="shared" ref="AI142" si="345">IFERROR(ROUNDDOWN(ROUND((L142*(U142-AW142)),0),0)*AF142,"")</f>
        <v/>
      </c>
      <c r="AJ142" s="1357">
        <f>IFERROR(IF(OR(M142="",M143="",M145=""),0,ROUNDDOWN(ROUNDDOWN(ROUND(L142*VLOOKUP(K142,【参考】数式用!$A$5:$AB$37,MATCH("新加算Ⅳ",【参考】数式用!$B$4:$AB$4,0)+1,0),0),0)*AF142*0.5,0)),"")</f>
        <v>0</v>
      </c>
      <c r="AK142" s="1341"/>
      <c r="AL142" s="1345">
        <f>IFERROR(IF(OR(M145="ベア加算",M145=""),0, IF(OR(T142="新加算Ⅰ",T142="新加算Ⅱ",T142="新加算Ⅲ",T142="新加算Ⅳ"),ROUNDDOWN(ROUND(L142*VLOOKUP(K142,【参考】数式用!$A$5:$I$37,MATCH("ベア加算",【参考】数式用!$B$4:$I$4,0)+1,0),0),0)*AF142,0)),"")</f>
        <v>0</v>
      </c>
      <c r="AM142" s="1331"/>
      <c r="AN142" s="1337"/>
      <c r="AO142" s="1333"/>
      <c r="AP142" s="1333"/>
      <c r="AQ142" s="1335"/>
      <c r="AR142" s="1315"/>
      <c r="AS142" s="465" t="str">
        <f t="shared" ref="AS142" si="346">IF(AU142="","",IF(U142&lt;N142,"！加算の要件上は問題ありませんが、令和６年４・５月と比較して令和６年６月に加算率が下がる計画になっています。",""))</f>
        <v/>
      </c>
      <c r="AT142" s="554"/>
      <c r="AU142" s="1303" t="str">
        <f>IF(K142&lt;&gt;"","V列に色付け","")</f>
        <v/>
      </c>
      <c r="AV142" s="555" t="str">
        <f>IF('別紙様式2-2（４・５月分）'!N110="","",'別紙様式2-2（４・５月分）'!N110)</f>
        <v/>
      </c>
      <c r="AW142" s="1305" t="str">
        <f>IF(SUM('別紙様式2-2（４・５月分）'!O110:O112)=0,"",SUM('別紙様式2-2（４・５月分）'!O110:O112))</f>
        <v/>
      </c>
      <c r="AX142" s="1306" t="str">
        <f>IFERROR(VLOOKUP(K142,【参考】数式用!$AH$2:$AI$34,2,FALSE),"")</f>
        <v/>
      </c>
      <c r="AY142" s="1222" t="s">
        <v>1959</v>
      </c>
      <c r="AZ142" s="1222" t="s">
        <v>1960</v>
      </c>
      <c r="BA142" s="1222" t="s">
        <v>1961</v>
      </c>
      <c r="BB142" s="1222" t="s">
        <v>1962</v>
      </c>
      <c r="BC142" s="1222" t="str">
        <f>IF(AND(O142&lt;&gt;"新加算Ⅰ",O142&lt;&gt;"新加算Ⅱ",O142&lt;&gt;"新加算Ⅲ",O142&lt;&gt;"新加算Ⅳ"),O142,IF(P144&lt;&gt;"",P144,""))</f>
        <v/>
      </c>
      <c r="BD142" s="1222"/>
      <c r="BE142" s="1222" t="str">
        <f t="shared" ref="BE142" si="347">IF(AL142&lt;&gt;0,IF(AM142="○","入力済","未入力"),"")</f>
        <v/>
      </c>
      <c r="BF142" s="1222"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2" t="str">
        <f>IF(OR(T142="新加算Ⅴ（７）",T142="新加算Ⅴ（９）",T142="新加算Ⅴ（10）",T142="新加算Ⅴ（12）",T142="新加算Ⅴ（13）",T142="新加算Ⅴ（14）"),IF(OR(AO142="○",AO142="令和６年度中に満たす"),"入力済","未入力"),"")</f>
        <v/>
      </c>
      <c r="BH142" s="1323" t="str">
        <f t="shared" ref="BH142" si="348">IF(OR(T142="新加算Ⅰ",T142="新加算Ⅱ",T142="新加算Ⅲ",T142="新加算Ⅴ（１）",T142="新加算Ⅴ（３）",T142="新加算Ⅴ（８）"),IF(OR(AP142="○",AP142="令和６年度中に満たす"),"入力済","未入力"),"")</f>
        <v/>
      </c>
      <c r="BI142" s="1325" t="str">
        <f t="shared" ref="BI142" si="349">IF(OR(T142="新加算Ⅰ",T142="新加算Ⅱ",T142="新加算Ⅴ（１）",T142="新加算Ⅴ（２）",T142="新加算Ⅴ（３）",T142="新加算Ⅴ（４）",T142="新加算Ⅴ（５）",T142="新加算Ⅴ（６）",T142="新加算Ⅴ（７）",T142="新加算Ⅴ（９）",T142="新加算Ⅴ（10）",T142="新加算Ⅴ（12）"),1,"")</f>
        <v/>
      </c>
      <c r="BJ142" s="1303" t="str">
        <f>IF(OR(T142="新加算Ⅰ",T142="新加算Ⅴ（１）",T142="新加算Ⅴ（２）",T142="新加算Ⅴ（５）",T142="新加算Ⅴ（７）",T142="新加算Ⅴ（10）"),IF(AR142="","未入力","入力済"),"")</f>
        <v/>
      </c>
      <c r="BK142" s="452" t="str">
        <f>G142</f>
        <v/>
      </c>
    </row>
    <row r="143" spans="1:63" ht="15" customHeight="1">
      <c r="A143" s="1267"/>
      <c r="B143" s="1235"/>
      <c r="C143" s="1236"/>
      <c r="D143" s="1236"/>
      <c r="E143" s="1236"/>
      <c r="F143" s="1237"/>
      <c r="G143" s="1252"/>
      <c r="H143" s="1252"/>
      <c r="I143" s="1252"/>
      <c r="J143" s="1415"/>
      <c r="K143" s="1252"/>
      <c r="L143" s="1276"/>
      <c r="M143" s="1371" t="str">
        <f>IF('別紙様式2-2（４・５月分）'!P111="","",'別紙様式2-2（４・５月分）'!P111)</f>
        <v/>
      </c>
      <c r="N143" s="1392"/>
      <c r="O143" s="1398"/>
      <c r="P143" s="1399"/>
      <c r="Q143" s="1400"/>
      <c r="R143" s="1402"/>
      <c r="S143" s="1404"/>
      <c r="T143" s="1406"/>
      <c r="U143" s="1408"/>
      <c r="V143" s="1410"/>
      <c r="W143" s="1348"/>
      <c r="X143" s="1350"/>
      <c r="Y143" s="1348"/>
      <c r="Z143" s="1350"/>
      <c r="AA143" s="1348"/>
      <c r="AB143" s="1350"/>
      <c r="AC143" s="1348"/>
      <c r="AD143" s="1350"/>
      <c r="AE143" s="1350"/>
      <c r="AF143" s="1350"/>
      <c r="AG143" s="1352"/>
      <c r="AH143" s="1354"/>
      <c r="AI143" s="1356"/>
      <c r="AJ143" s="1358"/>
      <c r="AK143" s="1342"/>
      <c r="AL143" s="1346"/>
      <c r="AM143" s="1332"/>
      <c r="AN143" s="1338"/>
      <c r="AO143" s="1334"/>
      <c r="AP143" s="1334"/>
      <c r="AQ143" s="1336"/>
      <c r="AR143" s="1316"/>
      <c r="AS143" s="1302"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4"/>
      <c r="AU143" s="1303"/>
      <c r="AV143" s="1304" t="str">
        <f>IF('別紙様式2-2（４・５月分）'!N111="","",'別紙様式2-2（４・５月分）'!N111)</f>
        <v/>
      </c>
      <c r="AW143" s="1305"/>
      <c r="AX143" s="1306"/>
      <c r="AY143" s="1222"/>
      <c r="AZ143" s="1222"/>
      <c r="BA143" s="1222"/>
      <c r="BB143" s="1222"/>
      <c r="BC143" s="1222"/>
      <c r="BD143" s="1222"/>
      <c r="BE143" s="1222"/>
      <c r="BF143" s="1222"/>
      <c r="BG143" s="1222"/>
      <c r="BH143" s="1324"/>
      <c r="BI143" s="1326"/>
      <c r="BJ143" s="1303"/>
      <c r="BK143" s="452" t="str">
        <f>G142</f>
        <v/>
      </c>
    </row>
    <row r="144" spans="1:63" ht="15" customHeight="1">
      <c r="A144" s="1295"/>
      <c r="B144" s="1235"/>
      <c r="C144" s="1236"/>
      <c r="D144" s="1236"/>
      <c r="E144" s="1236"/>
      <c r="F144" s="1237"/>
      <c r="G144" s="1252"/>
      <c r="H144" s="1252"/>
      <c r="I144" s="1252"/>
      <c r="J144" s="1415"/>
      <c r="K144" s="1252"/>
      <c r="L144" s="1276"/>
      <c r="M144" s="1372"/>
      <c r="N144" s="1393"/>
      <c r="O144" s="1373" t="s">
        <v>2025</v>
      </c>
      <c r="P144" s="1375" t="str">
        <f>IFERROR(VLOOKUP('別紙様式2-2（４・５月分）'!AQ110,【参考】数式用!$AR$5:$AT$22,3,FALSE),"")</f>
        <v/>
      </c>
      <c r="Q144" s="1377" t="s">
        <v>2036</v>
      </c>
      <c r="R144" s="1379" t="str">
        <f>IFERROR(VLOOKUP(K142,【参考】数式用!$A$5:$AB$37,MATCH(P144,【参考】数式用!$B$4:$AB$4,0)+1,0),"")</f>
        <v/>
      </c>
      <c r="S144" s="1381" t="s">
        <v>161</v>
      </c>
      <c r="T144" s="1383"/>
      <c r="U144" s="1385" t="str">
        <f>IFERROR(VLOOKUP(K142,【参考】数式用!$A$5:$AB$37,MATCH(T144,【参考】数式用!$B$4:$AB$4,0)+1,0),"")</f>
        <v/>
      </c>
      <c r="V144" s="1387" t="s">
        <v>15</v>
      </c>
      <c r="W144" s="1389">
        <v>7</v>
      </c>
      <c r="X144" s="1363" t="s">
        <v>10</v>
      </c>
      <c r="Y144" s="1389">
        <v>4</v>
      </c>
      <c r="Z144" s="1363" t="s">
        <v>38</v>
      </c>
      <c r="AA144" s="1389">
        <v>8</v>
      </c>
      <c r="AB144" s="1363" t="s">
        <v>10</v>
      </c>
      <c r="AC144" s="1389">
        <v>3</v>
      </c>
      <c r="AD144" s="1363" t="s">
        <v>13</v>
      </c>
      <c r="AE144" s="1363" t="s">
        <v>20</v>
      </c>
      <c r="AF144" s="1363">
        <f>IF(W144&gt;=1,(AA144*12+AC144)-(W144*12+Y144)+1,"")</f>
        <v>12</v>
      </c>
      <c r="AG144" s="1359" t="s">
        <v>33</v>
      </c>
      <c r="AH144" s="1365" t="str">
        <f t="shared" ref="AH144" si="351">IFERROR(ROUNDDOWN(ROUND(L142*U144,0),0)*AF144,"")</f>
        <v/>
      </c>
      <c r="AI144" s="1367" t="str">
        <f t="shared" ref="AI144" si="352">IFERROR(ROUNDDOWN(ROUND((L142*(U144-AW142)),0),0)*AF144,"")</f>
        <v/>
      </c>
      <c r="AJ144" s="1369">
        <f>IFERROR(IF(OR(M142="",M143="",M145=""),0,ROUNDDOWN(ROUNDDOWN(ROUND(L142*VLOOKUP(K142,【参考】数式用!$A$5:$AB$37,MATCH("新加算Ⅳ",【参考】数式用!$B$4:$AB$4,0)+1,0),0),0)*AF144*0.5,0)),"")</f>
        <v>0</v>
      </c>
      <c r="AK144" s="1339" t="str">
        <f t="shared" ref="AK144" si="353">IF(T144&lt;&gt;"","新規に適用","")</f>
        <v/>
      </c>
      <c r="AL144" s="1343">
        <f>IFERROR(IF(OR(M145="ベア加算",M145=""),0, IF(OR(T142="新加算Ⅰ",T142="新加算Ⅱ",T142="新加算Ⅲ",T142="新加算Ⅳ"),0,ROUNDDOWN(ROUND(L142*VLOOKUP(K142,【参考】数式用!$A$5:$I$37,MATCH("ベア加算",【参考】数式用!$B$4:$I$4,0)+1,0),0),0)*AF144)),"")</f>
        <v>0</v>
      </c>
      <c r="AM144" s="1313" t="str">
        <f>IF(AND(T144&lt;&gt;"",AM142=""),"新規に適用",IF(AND(T144&lt;&gt;"",AM142&lt;&gt;""),"継続で適用",""))</f>
        <v/>
      </c>
      <c r="AN144" s="1313" t="str">
        <f>IF(AND(T144&lt;&gt;"",AN142=""),"新規に適用",IF(AND(T144&lt;&gt;"",AN142&lt;&gt;""),"継続で適用",""))</f>
        <v/>
      </c>
      <c r="AO144" s="1361"/>
      <c r="AP144" s="1313" t="str">
        <f>IF(AND(T144&lt;&gt;"",AP142=""),"新規に適用",IF(AND(T144&lt;&gt;"",AP142&lt;&gt;""),"継続で適用",""))</f>
        <v/>
      </c>
      <c r="AQ144" s="1317" t="str">
        <f t="shared" si="243"/>
        <v/>
      </c>
      <c r="AR144" s="1313" t="str">
        <f>IF(AND(T144&lt;&gt;"",AR142=""),"新規に適用",IF(AND(T144&lt;&gt;"",AR142&lt;&gt;""),"継続で適用",""))</f>
        <v/>
      </c>
      <c r="AS144" s="1302"/>
      <c r="AT144" s="554"/>
      <c r="AU144" s="1303" t="str">
        <f>IF(K142&lt;&gt;"","V列に色付け","")</f>
        <v/>
      </c>
      <c r="AV144" s="1304"/>
      <c r="AW144" s="1305"/>
      <c r="AX144"/>
      <c r="AY144"/>
      <c r="AZ144"/>
      <c r="BA144"/>
      <c r="BB144"/>
      <c r="BC144"/>
      <c r="BD144"/>
      <c r="BE144"/>
      <c r="BF144"/>
      <c r="BG144"/>
      <c r="BH144"/>
      <c r="BI144"/>
      <c r="BJ144"/>
      <c r="BK144" s="452" t="str">
        <f>G142</f>
        <v/>
      </c>
    </row>
    <row r="145" spans="1:63" ht="30" customHeight="1" thickBot="1">
      <c r="A145" s="1268"/>
      <c r="B145" s="1411"/>
      <c r="C145" s="1412"/>
      <c r="D145" s="1412"/>
      <c r="E145" s="1412"/>
      <c r="F145" s="1413"/>
      <c r="G145" s="1253"/>
      <c r="H145" s="1253"/>
      <c r="I145" s="1253"/>
      <c r="J145" s="1416"/>
      <c r="K145" s="1253"/>
      <c r="L145" s="1277"/>
      <c r="M145" s="553" t="str">
        <f>IF('別紙様式2-2（４・５月分）'!P112="","",'別紙様式2-2（４・５月分）'!P112)</f>
        <v/>
      </c>
      <c r="N145" s="1394"/>
      <c r="O145" s="1374"/>
      <c r="P145" s="1376"/>
      <c r="Q145" s="1378"/>
      <c r="R145" s="1380"/>
      <c r="S145" s="1382"/>
      <c r="T145" s="1384"/>
      <c r="U145" s="1386"/>
      <c r="V145" s="1388"/>
      <c r="W145" s="1390"/>
      <c r="X145" s="1364"/>
      <c r="Y145" s="1390"/>
      <c r="Z145" s="1364"/>
      <c r="AA145" s="1390"/>
      <c r="AB145" s="1364"/>
      <c r="AC145" s="1390"/>
      <c r="AD145" s="1364"/>
      <c r="AE145" s="1364"/>
      <c r="AF145" s="1364"/>
      <c r="AG145" s="1360"/>
      <c r="AH145" s="1366"/>
      <c r="AI145" s="1368"/>
      <c r="AJ145" s="1370"/>
      <c r="AK145" s="1340"/>
      <c r="AL145" s="1344"/>
      <c r="AM145" s="1314"/>
      <c r="AN145" s="1314"/>
      <c r="AO145" s="1362"/>
      <c r="AP145" s="1314"/>
      <c r="AQ145" s="1318"/>
      <c r="AR145" s="1314"/>
      <c r="AS145" s="490"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4"/>
      <c r="AU145" s="1303"/>
      <c r="AV145" s="555" t="str">
        <f>IF('別紙様式2-2（４・５月分）'!N112="","",'別紙様式2-2（４・５月分）'!N112)</f>
        <v/>
      </c>
      <c r="AW145" s="1305"/>
      <c r="AX145"/>
      <c r="AY145"/>
      <c r="AZ145"/>
      <c r="BA145"/>
      <c r="BB145"/>
      <c r="BC145"/>
      <c r="BD145"/>
      <c r="BE145"/>
      <c r="BF145"/>
      <c r="BG145"/>
      <c r="BH145"/>
      <c r="BI145"/>
      <c r="BJ145"/>
      <c r="BK145" s="452" t="str">
        <f>G142</f>
        <v/>
      </c>
    </row>
    <row r="146" spans="1:63" ht="30" customHeight="1">
      <c r="A146" s="1293">
        <v>34</v>
      </c>
      <c r="B146" s="1232" t="str">
        <f>IF(基本情報入力シート!C87="","",基本情報入力シート!C87)</f>
        <v/>
      </c>
      <c r="C146" s="1233"/>
      <c r="D146" s="1233"/>
      <c r="E146" s="1233"/>
      <c r="F146" s="1234"/>
      <c r="G146" s="1251" t="str">
        <f>IF(基本情報入力シート!M87="","",基本情報入力シート!M87)</f>
        <v/>
      </c>
      <c r="H146" s="1251" t="str">
        <f>IF(基本情報入力シート!R87="","",基本情報入力シート!R87)</f>
        <v/>
      </c>
      <c r="I146" s="1251" t="str">
        <f>IF(基本情報入力シート!W87="","",基本情報入力シート!W87)</f>
        <v/>
      </c>
      <c r="J146" s="1414" t="str">
        <f>IF(基本情報入力シート!X87="","",基本情報入力シート!X87)</f>
        <v/>
      </c>
      <c r="K146" s="1251" t="str">
        <f>IF(基本情報入力シート!Y87="","",基本情報入力シート!Y87)</f>
        <v/>
      </c>
      <c r="L146" s="1275" t="str">
        <f>IF(基本情報入力シート!AB87="","",基本情報入力シート!AB87)</f>
        <v/>
      </c>
      <c r="M146" s="550" t="str">
        <f>IF('別紙様式2-2（４・５月分）'!P113="","",'別紙様式2-2（４・５月分）'!P113)</f>
        <v/>
      </c>
      <c r="N146" s="1391" t="str">
        <f>IF(SUM('別紙様式2-2（４・５月分）'!Q113:Q115)=0,"",SUM('別紙様式2-2（４・５月分）'!Q113:Q115))</f>
        <v/>
      </c>
      <c r="O146" s="1395" t="str">
        <f>IFERROR(VLOOKUP('別紙様式2-2（４・５月分）'!AQ113,【参考】数式用!$AR$5:$AS$22,2,FALSE),"")</f>
        <v/>
      </c>
      <c r="P146" s="1396"/>
      <c r="Q146" s="1397"/>
      <c r="R146" s="1401" t="str">
        <f>IFERROR(VLOOKUP(K146,【参考】数式用!$A$5:$AB$37,MATCH(O146,【参考】数式用!$B$4:$AB$4,0)+1,0),"")</f>
        <v/>
      </c>
      <c r="S146" s="1403" t="s">
        <v>2021</v>
      </c>
      <c r="T146" s="1405"/>
      <c r="U146" s="1407" t="str">
        <f>IFERROR(VLOOKUP(K146,【参考】数式用!$A$5:$AB$37,MATCH(T146,【参考】数式用!$B$4:$AB$4,0)+1,0),"")</f>
        <v/>
      </c>
      <c r="V146" s="1409" t="s">
        <v>15</v>
      </c>
      <c r="W146" s="1347">
        <v>6</v>
      </c>
      <c r="X146" s="1349" t="s">
        <v>10</v>
      </c>
      <c r="Y146" s="1347">
        <v>6</v>
      </c>
      <c r="Z146" s="1349" t="s">
        <v>38</v>
      </c>
      <c r="AA146" s="1347">
        <v>7</v>
      </c>
      <c r="AB146" s="1349" t="s">
        <v>10</v>
      </c>
      <c r="AC146" s="1347">
        <v>3</v>
      </c>
      <c r="AD146" s="1349" t="s">
        <v>13</v>
      </c>
      <c r="AE146" s="1349" t="s">
        <v>20</v>
      </c>
      <c r="AF146" s="1349">
        <f>IF(W146&gt;=1,(AA146*12+AC146)-(W146*12+Y146)+1,"")</f>
        <v>10</v>
      </c>
      <c r="AG146" s="1351" t="s">
        <v>33</v>
      </c>
      <c r="AH146" s="1353" t="str">
        <f t="shared" ref="AH146" si="355">IFERROR(ROUNDDOWN(ROUND(L146*U146,0),0)*AF146,"")</f>
        <v/>
      </c>
      <c r="AI146" s="1355" t="str">
        <f t="shared" ref="AI146" si="356">IFERROR(ROUNDDOWN(ROUND((L146*(U146-AW146)),0),0)*AF146,"")</f>
        <v/>
      </c>
      <c r="AJ146" s="1357">
        <f>IFERROR(IF(OR(M146="",M147="",M149=""),0,ROUNDDOWN(ROUNDDOWN(ROUND(L146*VLOOKUP(K146,【参考】数式用!$A$5:$AB$37,MATCH("新加算Ⅳ",【参考】数式用!$B$4:$AB$4,0)+1,0),0),0)*AF146*0.5,0)),"")</f>
        <v>0</v>
      </c>
      <c r="AK146" s="1341"/>
      <c r="AL146" s="1345">
        <f>IFERROR(IF(OR(M149="ベア加算",M149=""),0, IF(OR(T146="新加算Ⅰ",T146="新加算Ⅱ",T146="新加算Ⅲ",T146="新加算Ⅳ"),ROUNDDOWN(ROUND(L146*VLOOKUP(K146,【参考】数式用!$A$5:$I$37,MATCH("ベア加算",【参考】数式用!$B$4:$I$4,0)+1,0),0),0)*AF146,0)),"")</f>
        <v>0</v>
      </c>
      <c r="AM146" s="1331"/>
      <c r="AN146" s="1337"/>
      <c r="AO146" s="1333"/>
      <c r="AP146" s="1333"/>
      <c r="AQ146" s="1335"/>
      <c r="AR146" s="1315"/>
      <c r="AS146" s="465" t="str">
        <f t="shared" ref="AS146" si="357">IF(AU146="","",IF(U146&lt;N146,"！加算の要件上は問題ありませんが、令和６年４・５月と比較して令和６年６月に加算率が下がる計画になっています。",""))</f>
        <v/>
      </c>
      <c r="AT146" s="554"/>
      <c r="AU146" s="1303" t="str">
        <f>IF(K146&lt;&gt;"","V列に色付け","")</f>
        <v/>
      </c>
      <c r="AV146" s="555" t="str">
        <f>IF('別紙様式2-2（４・５月分）'!N113="","",'別紙様式2-2（４・５月分）'!N113)</f>
        <v/>
      </c>
      <c r="AW146" s="1305" t="str">
        <f>IF(SUM('別紙様式2-2（４・５月分）'!O113:O115)=0,"",SUM('別紙様式2-2（４・５月分）'!O113:O115))</f>
        <v/>
      </c>
      <c r="AX146" s="1306" t="str">
        <f>IFERROR(VLOOKUP(K146,【参考】数式用!$AH$2:$AI$34,2,FALSE),"")</f>
        <v/>
      </c>
      <c r="AY146" s="1222" t="s">
        <v>1959</v>
      </c>
      <c r="AZ146" s="1222" t="s">
        <v>1960</v>
      </c>
      <c r="BA146" s="1222" t="s">
        <v>1961</v>
      </c>
      <c r="BB146" s="1222" t="s">
        <v>1962</v>
      </c>
      <c r="BC146" s="1222" t="str">
        <f>IF(AND(O146&lt;&gt;"新加算Ⅰ",O146&lt;&gt;"新加算Ⅱ",O146&lt;&gt;"新加算Ⅲ",O146&lt;&gt;"新加算Ⅳ"),O146,IF(P148&lt;&gt;"",P148,""))</f>
        <v/>
      </c>
      <c r="BD146" s="1222"/>
      <c r="BE146" s="1222" t="str">
        <f t="shared" ref="BE146" si="358">IF(AL146&lt;&gt;0,IF(AM146="○","入力済","未入力"),"")</f>
        <v/>
      </c>
      <c r="BF146" s="1222"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2" t="str">
        <f>IF(OR(T146="新加算Ⅴ（７）",T146="新加算Ⅴ（９）",T146="新加算Ⅴ（10）",T146="新加算Ⅴ（12）",T146="新加算Ⅴ（13）",T146="新加算Ⅴ（14）"),IF(OR(AO146="○",AO146="令和６年度中に満たす"),"入力済","未入力"),"")</f>
        <v/>
      </c>
      <c r="BH146" s="1323" t="str">
        <f t="shared" ref="BH146" si="359">IF(OR(T146="新加算Ⅰ",T146="新加算Ⅱ",T146="新加算Ⅲ",T146="新加算Ⅴ（１）",T146="新加算Ⅴ（３）",T146="新加算Ⅴ（８）"),IF(OR(AP146="○",AP146="令和６年度中に満たす"),"入力済","未入力"),"")</f>
        <v/>
      </c>
      <c r="BI146" s="1325" t="str">
        <f t="shared" ref="BI146" si="360">IF(OR(T146="新加算Ⅰ",T146="新加算Ⅱ",T146="新加算Ⅴ（１）",T146="新加算Ⅴ（２）",T146="新加算Ⅴ（３）",T146="新加算Ⅴ（４）",T146="新加算Ⅴ（５）",T146="新加算Ⅴ（６）",T146="新加算Ⅴ（７）",T146="新加算Ⅴ（９）",T146="新加算Ⅴ（10）",T146="新加算Ⅴ（12）"),1,"")</f>
        <v/>
      </c>
      <c r="BJ146" s="1303" t="str">
        <f>IF(OR(T146="新加算Ⅰ",T146="新加算Ⅴ（１）",T146="新加算Ⅴ（２）",T146="新加算Ⅴ（５）",T146="新加算Ⅴ（７）",T146="新加算Ⅴ（10）"),IF(AR146="","未入力","入力済"),"")</f>
        <v/>
      </c>
      <c r="BK146" s="452" t="str">
        <f>G146</f>
        <v/>
      </c>
    </row>
    <row r="147" spans="1:63" ht="15" customHeight="1">
      <c r="A147" s="1267"/>
      <c r="B147" s="1235"/>
      <c r="C147" s="1236"/>
      <c r="D147" s="1236"/>
      <c r="E147" s="1236"/>
      <c r="F147" s="1237"/>
      <c r="G147" s="1252"/>
      <c r="H147" s="1252"/>
      <c r="I147" s="1252"/>
      <c r="J147" s="1415"/>
      <c r="K147" s="1252"/>
      <c r="L147" s="1276"/>
      <c r="M147" s="1371" t="str">
        <f>IF('別紙様式2-2（４・５月分）'!P114="","",'別紙様式2-2（４・５月分）'!P114)</f>
        <v/>
      </c>
      <c r="N147" s="1392"/>
      <c r="O147" s="1398"/>
      <c r="P147" s="1399"/>
      <c r="Q147" s="1400"/>
      <c r="R147" s="1402"/>
      <c r="S147" s="1404"/>
      <c r="T147" s="1406"/>
      <c r="U147" s="1408"/>
      <c r="V147" s="1410"/>
      <c r="W147" s="1348"/>
      <c r="X147" s="1350"/>
      <c r="Y147" s="1348"/>
      <c r="Z147" s="1350"/>
      <c r="AA147" s="1348"/>
      <c r="AB147" s="1350"/>
      <c r="AC147" s="1348"/>
      <c r="AD147" s="1350"/>
      <c r="AE147" s="1350"/>
      <c r="AF147" s="1350"/>
      <c r="AG147" s="1352"/>
      <c r="AH147" s="1354"/>
      <c r="AI147" s="1356"/>
      <c r="AJ147" s="1358"/>
      <c r="AK147" s="1342"/>
      <c r="AL147" s="1346"/>
      <c r="AM147" s="1332"/>
      <c r="AN147" s="1338"/>
      <c r="AO147" s="1334"/>
      <c r="AP147" s="1334"/>
      <c r="AQ147" s="1336"/>
      <c r="AR147" s="1316"/>
      <c r="AS147" s="1302"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4"/>
      <c r="AU147" s="1303"/>
      <c r="AV147" s="1304" t="str">
        <f>IF('別紙様式2-2（４・５月分）'!N114="","",'別紙様式2-2（４・５月分）'!N114)</f>
        <v/>
      </c>
      <c r="AW147" s="1305"/>
      <c r="AX147" s="1306"/>
      <c r="AY147" s="1222"/>
      <c r="AZ147" s="1222"/>
      <c r="BA147" s="1222"/>
      <c r="BB147" s="1222"/>
      <c r="BC147" s="1222"/>
      <c r="BD147" s="1222"/>
      <c r="BE147" s="1222"/>
      <c r="BF147" s="1222"/>
      <c r="BG147" s="1222"/>
      <c r="BH147" s="1324"/>
      <c r="BI147" s="1326"/>
      <c r="BJ147" s="1303"/>
      <c r="BK147" s="452" t="str">
        <f>G146</f>
        <v/>
      </c>
    </row>
    <row r="148" spans="1:63" ht="15" customHeight="1">
      <c r="A148" s="1295"/>
      <c r="B148" s="1235"/>
      <c r="C148" s="1236"/>
      <c r="D148" s="1236"/>
      <c r="E148" s="1236"/>
      <c r="F148" s="1237"/>
      <c r="G148" s="1252"/>
      <c r="H148" s="1252"/>
      <c r="I148" s="1252"/>
      <c r="J148" s="1415"/>
      <c r="K148" s="1252"/>
      <c r="L148" s="1276"/>
      <c r="M148" s="1372"/>
      <c r="N148" s="1393"/>
      <c r="O148" s="1373" t="s">
        <v>2025</v>
      </c>
      <c r="P148" s="1375" t="str">
        <f>IFERROR(VLOOKUP('別紙様式2-2（４・５月分）'!AQ113,【参考】数式用!$AR$5:$AT$22,3,FALSE),"")</f>
        <v/>
      </c>
      <c r="Q148" s="1377" t="s">
        <v>2036</v>
      </c>
      <c r="R148" s="1379" t="str">
        <f>IFERROR(VLOOKUP(K146,【参考】数式用!$A$5:$AB$37,MATCH(P148,【参考】数式用!$B$4:$AB$4,0)+1,0),"")</f>
        <v/>
      </c>
      <c r="S148" s="1381" t="s">
        <v>161</v>
      </c>
      <c r="T148" s="1383"/>
      <c r="U148" s="1385" t="str">
        <f>IFERROR(VLOOKUP(K146,【参考】数式用!$A$5:$AB$37,MATCH(T148,【参考】数式用!$B$4:$AB$4,0)+1,0),"")</f>
        <v/>
      </c>
      <c r="V148" s="1387" t="s">
        <v>15</v>
      </c>
      <c r="W148" s="1389">
        <v>7</v>
      </c>
      <c r="X148" s="1363" t="s">
        <v>10</v>
      </c>
      <c r="Y148" s="1389">
        <v>4</v>
      </c>
      <c r="Z148" s="1363" t="s">
        <v>38</v>
      </c>
      <c r="AA148" s="1389">
        <v>8</v>
      </c>
      <c r="AB148" s="1363" t="s">
        <v>10</v>
      </c>
      <c r="AC148" s="1389">
        <v>3</v>
      </c>
      <c r="AD148" s="1363" t="s">
        <v>13</v>
      </c>
      <c r="AE148" s="1363" t="s">
        <v>20</v>
      </c>
      <c r="AF148" s="1363">
        <f>IF(W148&gt;=1,(AA148*12+AC148)-(W148*12+Y148)+1,"")</f>
        <v>12</v>
      </c>
      <c r="AG148" s="1359" t="s">
        <v>33</v>
      </c>
      <c r="AH148" s="1365" t="str">
        <f t="shared" ref="AH148" si="362">IFERROR(ROUNDDOWN(ROUND(L146*U148,0),0)*AF148,"")</f>
        <v/>
      </c>
      <c r="AI148" s="1367" t="str">
        <f t="shared" ref="AI148" si="363">IFERROR(ROUNDDOWN(ROUND((L146*(U148-AW146)),0),0)*AF148,"")</f>
        <v/>
      </c>
      <c r="AJ148" s="1369">
        <f>IFERROR(IF(OR(M146="",M147="",M149=""),0,ROUNDDOWN(ROUNDDOWN(ROUND(L146*VLOOKUP(K146,【参考】数式用!$A$5:$AB$37,MATCH("新加算Ⅳ",【参考】数式用!$B$4:$AB$4,0)+1,0),0),0)*AF148*0.5,0)),"")</f>
        <v>0</v>
      </c>
      <c r="AK148" s="1339" t="str">
        <f t="shared" ref="AK148" si="364">IF(T148&lt;&gt;"","新規に適用","")</f>
        <v/>
      </c>
      <c r="AL148" s="1343">
        <f>IFERROR(IF(OR(M149="ベア加算",M149=""),0, IF(OR(T146="新加算Ⅰ",T146="新加算Ⅱ",T146="新加算Ⅲ",T146="新加算Ⅳ"),0,ROUNDDOWN(ROUND(L146*VLOOKUP(K146,【参考】数式用!$A$5:$I$37,MATCH("ベア加算",【参考】数式用!$B$4:$I$4,0)+1,0),0),0)*AF148)),"")</f>
        <v>0</v>
      </c>
      <c r="AM148" s="1313" t="str">
        <f>IF(AND(T148&lt;&gt;"",AM146=""),"新規に適用",IF(AND(T148&lt;&gt;"",AM146&lt;&gt;""),"継続で適用",""))</f>
        <v/>
      </c>
      <c r="AN148" s="1313" t="str">
        <f>IF(AND(T148&lt;&gt;"",AN146=""),"新規に適用",IF(AND(T148&lt;&gt;"",AN146&lt;&gt;""),"継続で適用",""))</f>
        <v/>
      </c>
      <c r="AO148" s="1361"/>
      <c r="AP148" s="1313" t="str">
        <f>IF(AND(T148&lt;&gt;"",AP146=""),"新規に適用",IF(AND(T148&lt;&gt;"",AP146&lt;&gt;""),"継続で適用",""))</f>
        <v/>
      </c>
      <c r="AQ148" s="1317" t="str">
        <f t="shared" si="243"/>
        <v/>
      </c>
      <c r="AR148" s="1313" t="str">
        <f>IF(AND(T148&lt;&gt;"",AR146=""),"新規に適用",IF(AND(T148&lt;&gt;"",AR146&lt;&gt;""),"継続で適用",""))</f>
        <v/>
      </c>
      <c r="AS148" s="1302"/>
      <c r="AT148" s="554"/>
      <c r="AU148" s="1303" t="str">
        <f>IF(K146&lt;&gt;"","V列に色付け","")</f>
        <v/>
      </c>
      <c r="AV148" s="1304"/>
      <c r="AW148" s="1305"/>
      <c r="AX148"/>
      <c r="AY148"/>
      <c r="AZ148"/>
      <c r="BA148"/>
      <c r="BB148"/>
      <c r="BC148"/>
      <c r="BD148"/>
      <c r="BE148"/>
      <c r="BF148"/>
      <c r="BG148"/>
      <c r="BH148"/>
      <c r="BI148"/>
      <c r="BJ148"/>
      <c r="BK148" s="452" t="str">
        <f>G146</f>
        <v/>
      </c>
    </row>
    <row r="149" spans="1:63" ht="30" customHeight="1" thickBot="1">
      <c r="A149" s="1268"/>
      <c r="B149" s="1411"/>
      <c r="C149" s="1412"/>
      <c r="D149" s="1412"/>
      <c r="E149" s="1412"/>
      <c r="F149" s="1413"/>
      <c r="G149" s="1253"/>
      <c r="H149" s="1253"/>
      <c r="I149" s="1253"/>
      <c r="J149" s="1416"/>
      <c r="K149" s="1253"/>
      <c r="L149" s="1277"/>
      <c r="M149" s="553" t="str">
        <f>IF('別紙様式2-2（４・５月分）'!P115="","",'別紙様式2-2（４・５月分）'!P115)</f>
        <v/>
      </c>
      <c r="N149" s="1394"/>
      <c r="O149" s="1374"/>
      <c r="P149" s="1376"/>
      <c r="Q149" s="1378"/>
      <c r="R149" s="1380"/>
      <c r="S149" s="1382"/>
      <c r="T149" s="1384"/>
      <c r="U149" s="1386"/>
      <c r="V149" s="1388"/>
      <c r="W149" s="1390"/>
      <c r="X149" s="1364"/>
      <c r="Y149" s="1390"/>
      <c r="Z149" s="1364"/>
      <c r="AA149" s="1390"/>
      <c r="AB149" s="1364"/>
      <c r="AC149" s="1390"/>
      <c r="AD149" s="1364"/>
      <c r="AE149" s="1364"/>
      <c r="AF149" s="1364"/>
      <c r="AG149" s="1360"/>
      <c r="AH149" s="1366"/>
      <c r="AI149" s="1368"/>
      <c r="AJ149" s="1370"/>
      <c r="AK149" s="1340"/>
      <c r="AL149" s="1344"/>
      <c r="AM149" s="1314"/>
      <c r="AN149" s="1314"/>
      <c r="AO149" s="1362"/>
      <c r="AP149" s="1314"/>
      <c r="AQ149" s="1318"/>
      <c r="AR149" s="1314"/>
      <c r="AS149" s="490"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4"/>
      <c r="AU149" s="1303"/>
      <c r="AV149" s="555" t="str">
        <f>IF('別紙様式2-2（４・５月分）'!N115="","",'別紙様式2-2（４・５月分）'!N115)</f>
        <v/>
      </c>
      <c r="AW149" s="1305"/>
      <c r="AX149"/>
      <c r="AY149"/>
      <c r="AZ149"/>
      <c r="BA149"/>
      <c r="BB149"/>
      <c r="BC149"/>
      <c r="BD149"/>
      <c r="BE149"/>
      <c r="BF149"/>
      <c r="BG149"/>
      <c r="BH149"/>
      <c r="BI149"/>
      <c r="BJ149"/>
      <c r="BK149" s="452" t="str">
        <f>G146</f>
        <v/>
      </c>
    </row>
    <row r="150" spans="1:63" ht="30" customHeight="1">
      <c r="A150" s="1266">
        <v>35</v>
      </c>
      <c r="B150" s="1235" t="str">
        <f>IF(基本情報入力シート!C88="","",基本情報入力シート!C88)</f>
        <v/>
      </c>
      <c r="C150" s="1236"/>
      <c r="D150" s="1236"/>
      <c r="E150" s="1236"/>
      <c r="F150" s="1237"/>
      <c r="G150" s="1252" t="str">
        <f>IF(基本情報入力シート!M88="","",基本情報入力シート!M88)</f>
        <v/>
      </c>
      <c r="H150" s="1252" t="str">
        <f>IF(基本情報入力シート!R88="","",基本情報入力シート!R88)</f>
        <v/>
      </c>
      <c r="I150" s="1252" t="str">
        <f>IF(基本情報入力シート!W88="","",基本情報入力シート!W88)</f>
        <v/>
      </c>
      <c r="J150" s="1415" t="str">
        <f>IF(基本情報入力シート!X88="","",基本情報入力シート!X88)</f>
        <v/>
      </c>
      <c r="K150" s="1252" t="str">
        <f>IF(基本情報入力シート!Y88="","",基本情報入力シート!Y88)</f>
        <v/>
      </c>
      <c r="L150" s="1276" t="str">
        <f>IF(基本情報入力シート!AB88="","",基本情報入力シート!AB88)</f>
        <v/>
      </c>
      <c r="M150" s="550" t="str">
        <f>IF('別紙様式2-2（４・５月分）'!P116="","",'別紙様式2-2（４・５月分）'!P116)</f>
        <v/>
      </c>
      <c r="N150" s="1391" t="str">
        <f>IF(SUM('別紙様式2-2（４・５月分）'!Q116:Q118)=0,"",SUM('別紙様式2-2（４・５月分）'!Q116:Q118))</f>
        <v/>
      </c>
      <c r="O150" s="1395" t="str">
        <f>IFERROR(VLOOKUP('別紙様式2-2（４・５月分）'!AQ116,【参考】数式用!$AR$5:$AS$22,2,FALSE),"")</f>
        <v/>
      </c>
      <c r="P150" s="1396"/>
      <c r="Q150" s="1397"/>
      <c r="R150" s="1401" t="str">
        <f>IFERROR(VLOOKUP(K150,【参考】数式用!$A$5:$AB$37,MATCH(O150,【参考】数式用!$B$4:$AB$4,0)+1,0),"")</f>
        <v/>
      </c>
      <c r="S150" s="1403" t="s">
        <v>2021</v>
      </c>
      <c r="T150" s="1405"/>
      <c r="U150" s="1407" t="str">
        <f>IFERROR(VLOOKUP(K150,【参考】数式用!$A$5:$AB$37,MATCH(T150,【参考】数式用!$B$4:$AB$4,0)+1,0),"")</f>
        <v/>
      </c>
      <c r="V150" s="1409" t="s">
        <v>15</v>
      </c>
      <c r="W150" s="1347">
        <v>6</v>
      </c>
      <c r="X150" s="1349" t="s">
        <v>10</v>
      </c>
      <c r="Y150" s="1347">
        <v>6</v>
      </c>
      <c r="Z150" s="1349" t="s">
        <v>38</v>
      </c>
      <c r="AA150" s="1347">
        <v>7</v>
      </c>
      <c r="AB150" s="1349" t="s">
        <v>10</v>
      </c>
      <c r="AC150" s="1347">
        <v>3</v>
      </c>
      <c r="AD150" s="1349" t="s">
        <v>13</v>
      </c>
      <c r="AE150" s="1349" t="s">
        <v>20</v>
      </c>
      <c r="AF150" s="1349">
        <f>IF(W150&gt;=1,(AA150*12+AC150)-(W150*12+Y150)+1,"")</f>
        <v>10</v>
      </c>
      <c r="AG150" s="1351" t="s">
        <v>33</v>
      </c>
      <c r="AH150" s="1353" t="str">
        <f t="shared" ref="AH150" si="366">IFERROR(ROUNDDOWN(ROUND(L150*U150,0),0)*AF150,"")</f>
        <v/>
      </c>
      <c r="AI150" s="1355" t="str">
        <f t="shared" ref="AI150" si="367">IFERROR(ROUNDDOWN(ROUND((L150*(U150-AW150)),0),0)*AF150,"")</f>
        <v/>
      </c>
      <c r="AJ150" s="1357">
        <f>IFERROR(IF(OR(M150="",M151="",M153=""),0,ROUNDDOWN(ROUNDDOWN(ROUND(L150*VLOOKUP(K150,【参考】数式用!$A$5:$AB$37,MATCH("新加算Ⅳ",【参考】数式用!$B$4:$AB$4,0)+1,0),0),0)*AF150*0.5,0)),"")</f>
        <v>0</v>
      </c>
      <c r="AK150" s="1341"/>
      <c r="AL150" s="1345">
        <f>IFERROR(IF(OR(M153="ベア加算",M153=""),0, IF(OR(T150="新加算Ⅰ",T150="新加算Ⅱ",T150="新加算Ⅲ",T150="新加算Ⅳ"),ROUNDDOWN(ROUND(L150*VLOOKUP(K150,【参考】数式用!$A$5:$I$37,MATCH("ベア加算",【参考】数式用!$B$4:$I$4,0)+1,0),0),0)*AF150,0)),"")</f>
        <v>0</v>
      </c>
      <c r="AM150" s="1331"/>
      <c r="AN150" s="1337"/>
      <c r="AO150" s="1333"/>
      <c r="AP150" s="1333"/>
      <c r="AQ150" s="1335"/>
      <c r="AR150" s="1315"/>
      <c r="AS150" s="465" t="str">
        <f t="shared" ref="AS150" si="368">IF(AU150="","",IF(U150&lt;N150,"！加算の要件上は問題ありませんが、令和６年４・５月と比較して令和６年６月に加算率が下がる計画になっています。",""))</f>
        <v/>
      </c>
      <c r="AT150" s="554"/>
      <c r="AU150" s="1303" t="str">
        <f>IF(K150&lt;&gt;"","V列に色付け","")</f>
        <v/>
      </c>
      <c r="AV150" s="555" t="str">
        <f>IF('別紙様式2-2（４・５月分）'!N116="","",'別紙様式2-2（４・５月分）'!N116)</f>
        <v/>
      </c>
      <c r="AW150" s="1305" t="str">
        <f>IF(SUM('別紙様式2-2（４・５月分）'!O116:O118)=0,"",SUM('別紙様式2-2（４・５月分）'!O116:O118))</f>
        <v/>
      </c>
      <c r="AX150" s="1306" t="str">
        <f>IFERROR(VLOOKUP(K150,【参考】数式用!$AH$2:$AI$34,2,FALSE),"")</f>
        <v/>
      </c>
      <c r="AY150" s="1222" t="s">
        <v>1959</v>
      </c>
      <c r="AZ150" s="1222" t="s">
        <v>1960</v>
      </c>
      <c r="BA150" s="1222" t="s">
        <v>1961</v>
      </c>
      <c r="BB150" s="1222" t="s">
        <v>1962</v>
      </c>
      <c r="BC150" s="1222" t="str">
        <f>IF(AND(O150&lt;&gt;"新加算Ⅰ",O150&lt;&gt;"新加算Ⅱ",O150&lt;&gt;"新加算Ⅲ",O150&lt;&gt;"新加算Ⅳ"),O150,IF(P152&lt;&gt;"",P152,""))</f>
        <v/>
      </c>
      <c r="BD150" s="1222"/>
      <c r="BE150" s="1222" t="str">
        <f t="shared" ref="BE150" si="369">IF(AL150&lt;&gt;0,IF(AM150="○","入力済","未入力"),"")</f>
        <v/>
      </c>
      <c r="BF150" s="1222"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2" t="str">
        <f>IF(OR(T150="新加算Ⅴ（７）",T150="新加算Ⅴ（９）",T150="新加算Ⅴ（10）",T150="新加算Ⅴ（12）",T150="新加算Ⅴ（13）",T150="新加算Ⅴ（14）"),IF(OR(AO150="○",AO150="令和６年度中に満たす"),"入力済","未入力"),"")</f>
        <v/>
      </c>
      <c r="BH150" s="1323" t="str">
        <f t="shared" ref="BH150" si="370">IF(OR(T150="新加算Ⅰ",T150="新加算Ⅱ",T150="新加算Ⅲ",T150="新加算Ⅴ（１）",T150="新加算Ⅴ（３）",T150="新加算Ⅴ（８）"),IF(OR(AP150="○",AP150="令和６年度中に満たす"),"入力済","未入力"),"")</f>
        <v/>
      </c>
      <c r="BI150" s="1325" t="str">
        <f t="shared" ref="BI150" si="371">IF(OR(T150="新加算Ⅰ",T150="新加算Ⅱ",T150="新加算Ⅴ（１）",T150="新加算Ⅴ（２）",T150="新加算Ⅴ（３）",T150="新加算Ⅴ（４）",T150="新加算Ⅴ（５）",T150="新加算Ⅴ（６）",T150="新加算Ⅴ（７）",T150="新加算Ⅴ（９）",T150="新加算Ⅴ（10）",T150="新加算Ⅴ（12）"),1,"")</f>
        <v/>
      </c>
      <c r="BJ150" s="1303" t="str">
        <f>IF(OR(T150="新加算Ⅰ",T150="新加算Ⅴ（１）",T150="新加算Ⅴ（２）",T150="新加算Ⅴ（５）",T150="新加算Ⅴ（７）",T150="新加算Ⅴ（10）"),IF(AR150="","未入力","入力済"),"")</f>
        <v/>
      </c>
      <c r="BK150" s="452" t="str">
        <f>G150</f>
        <v/>
      </c>
    </row>
    <row r="151" spans="1:63" ht="15" customHeight="1">
      <c r="A151" s="1267"/>
      <c r="B151" s="1235"/>
      <c r="C151" s="1236"/>
      <c r="D151" s="1236"/>
      <c r="E151" s="1236"/>
      <c r="F151" s="1237"/>
      <c r="G151" s="1252"/>
      <c r="H151" s="1252"/>
      <c r="I151" s="1252"/>
      <c r="J151" s="1415"/>
      <c r="K151" s="1252"/>
      <c r="L151" s="1276"/>
      <c r="M151" s="1371" t="str">
        <f>IF('別紙様式2-2（４・５月分）'!P117="","",'別紙様式2-2（４・５月分）'!P117)</f>
        <v/>
      </c>
      <c r="N151" s="1392"/>
      <c r="O151" s="1398"/>
      <c r="P151" s="1399"/>
      <c r="Q151" s="1400"/>
      <c r="R151" s="1402"/>
      <c r="S151" s="1404"/>
      <c r="T151" s="1406"/>
      <c r="U151" s="1408"/>
      <c r="V151" s="1410"/>
      <c r="W151" s="1348"/>
      <c r="X151" s="1350"/>
      <c r="Y151" s="1348"/>
      <c r="Z151" s="1350"/>
      <c r="AA151" s="1348"/>
      <c r="AB151" s="1350"/>
      <c r="AC151" s="1348"/>
      <c r="AD151" s="1350"/>
      <c r="AE151" s="1350"/>
      <c r="AF151" s="1350"/>
      <c r="AG151" s="1352"/>
      <c r="AH151" s="1354"/>
      <c r="AI151" s="1356"/>
      <c r="AJ151" s="1358"/>
      <c r="AK151" s="1342"/>
      <c r="AL151" s="1346"/>
      <c r="AM151" s="1332"/>
      <c r="AN151" s="1338"/>
      <c r="AO151" s="1334"/>
      <c r="AP151" s="1334"/>
      <c r="AQ151" s="1336"/>
      <c r="AR151" s="1316"/>
      <c r="AS151" s="1302"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4"/>
      <c r="AU151" s="1303"/>
      <c r="AV151" s="1304" t="str">
        <f>IF('別紙様式2-2（４・５月分）'!N117="","",'別紙様式2-2（４・５月分）'!N117)</f>
        <v/>
      </c>
      <c r="AW151" s="1305"/>
      <c r="AX151" s="1306"/>
      <c r="AY151" s="1222"/>
      <c r="AZ151" s="1222"/>
      <c r="BA151" s="1222"/>
      <c r="BB151" s="1222"/>
      <c r="BC151" s="1222"/>
      <c r="BD151" s="1222"/>
      <c r="BE151" s="1222"/>
      <c r="BF151" s="1222"/>
      <c r="BG151" s="1222"/>
      <c r="BH151" s="1324"/>
      <c r="BI151" s="1326"/>
      <c r="BJ151" s="1303"/>
      <c r="BK151" s="452" t="str">
        <f>G150</f>
        <v/>
      </c>
    </row>
    <row r="152" spans="1:63" ht="15" customHeight="1">
      <c r="A152" s="1295"/>
      <c r="B152" s="1235"/>
      <c r="C152" s="1236"/>
      <c r="D152" s="1236"/>
      <c r="E152" s="1236"/>
      <c r="F152" s="1237"/>
      <c r="G152" s="1252"/>
      <c r="H152" s="1252"/>
      <c r="I152" s="1252"/>
      <c r="J152" s="1415"/>
      <c r="K152" s="1252"/>
      <c r="L152" s="1276"/>
      <c r="M152" s="1372"/>
      <c r="N152" s="1393"/>
      <c r="O152" s="1373" t="s">
        <v>2025</v>
      </c>
      <c r="P152" s="1375" t="str">
        <f>IFERROR(VLOOKUP('別紙様式2-2（４・５月分）'!AQ116,【参考】数式用!$AR$5:$AT$22,3,FALSE),"")</f>
        <v/>
      </c>
      <c r="Q152" s="1377" t="s">
        <v>2036</v>
      </c>
      <c r="R152" s="1379" t="str">
        <f>IFERROR(VLOOKUP(K150,【参考】数式用!$A$5:$AB$37,MATCH(P152,【参考】数式用!$B$4:$AB$4,0)+1,0),"")</f>
        <v/>
      </c>
      <c r="S152" s="1381" t="s">
        <v>161</v>
      </c>
      <c r="T152" s="1383"/>
      <c r="U152" s="1385" t="str">
        <f>IFERROR(VLOOKUP(K150,【参考】数式用!$A$5:$AB$37,MATCH(T152,【参考】数式用!$B$4:$AB$4,0)+1,0),"")</f>
        <v/>
      </c>
      <c r="V152" s="1387" t="s">
        <v>15</v>
      </c>
      <c r="W152" s="1389">
        <v>7</v>
      </c>
      <c r="X152" s="1363" t="s">
        <v>10</v>
      </c>
      <c r="Y152" s="1389">
        <v>4</v>
      </c>
      <c r="Z152" s="1363" t="s">
        <v>38</v>
      </c>
      <c r="AA152" s="1389">
        <v>8</v>
      </c>
      <c r="AB152" s="1363" t="s">
        <v>10</v>
      </c>
      <c r="AC152" s="1389">
        <v>3</v>
      </c>
      <c r="AD152" s="1363" t="s">
        <v>13</v>
      </c>
      <c r="AE152" s="1363" t="s">
        <v>20</v>
      </c>
      <c r="AF152" s="1363">
        <f>IF(W152&gt;=1,(AA152*12+AC152)-(W152*12+Y152)+1,"")</f>
        <v>12</v>
      </c>
      <c r="AG152" s="1359" t="s">
        <v>33</v>
      </c>
      <c r="AH152" s="1365" t="str">
        <f t="shared" ref="AH152" si="373">IFERROR(ROUNDDOWN(ROUND(L150*U152,0),0)*AF152,"")</f>
        <v/>
      </c>
      <c r="AI152" s="1367" t="str">
        <f t="shared" ref="AI152" si="374">IFERROR(ROUNDDOWN(ROUND((L150*(U152-AW150)),0),0)*AF152,"")</f>
        <v/>
      </c>
      <c r="AJ152" s="1369">
        <f>IFERROR(IF(OR(M150="",M151="",M153=""),0,ROUNDDOWN(ROUNDDOWN(ROUND(L150*VLOOKUP(K150,【参考】数式用!$A$5:$AB$37,MATCH("新加算Ⅳ",【参考】数式用!$B$4:$AB$4,0)+1,0),0),0)*AF152*0.5,0)),"")</f>
        <v>0</v>
      </c>
      <c r="AK152" s="1339" t="str">
        <f t="shared" ref="AK152" si="375">IF(T152&lt;&gt;"","新規に適用","")</f>
        <v/>
      </c>
      <c r="AL152" s="1343">
        <f>IFERROR(IF(OR(M153="ベア加算",M153=""),0, IF(OR(T150="新加算Ⅰ",T150="新加算Ⅱ",T150="新加算Ⅲ",T150="新加算Ⅳ"),0,ROUNDDOWN(ROUND(L150*VLOOKUP(K150,【参考】数式用!$A$5:$I$37,MATCH("ベア加算",【参考】数式用!$B$4:$I$4,0)+1,0),0),0)*AF152)),"")</f>
        <v>0</v>
      </c>
      <c r="AM152" s="1313" t="str">
        <f>IF(AND(T152&lt;&gt;"",AM150=""),"新規に適用",IF(AND(T152&lt;&gt;"",AM150&lt;&gt;""),"継続で適用",""))</f>
        <v/>
      </c>
      <c r="AN152" s="1313" t="str">
        <f>IF(AND(T152&lt;&gt;"",AN150=""),"新規に適用",IF(AND(T152&lt;&gt;"",AN150&lt;&gt;""),"継続で適用",""))</f>
        <v/>
      </c>
      <c r="AO152" s="1361"/>
      <c r="AP152" s="1313" t="str">
        <f>IF(AND(T152&lt;&gt;"",AP150=""),"新規に適用",IF(AND(T152&lt;&gt;"",AP150&lt;&gt;""),"継続で適用",""))</f>
        <v/>
      </c>
      <c r="AQ152" s="1317" t="str">
        <f t="shared" si="243"/>
        <v/>
      </c>
      <c r="AR152" s="1313" t="str">
        <f>IF(AND(T152&lt;&gt;"",AR150=""),"新規に適用",IF(AND(T152&lt;&gt;"",AR150&lt;&gt;""),"継続で適用",""))</f>
        <v/>
      </c>
      <c r="AS152" s="1302"/>
      <c r="AT152" s="554"/>
      <c r="AU152" s="1303" t="str">
        <f>IF(K150&lt;&gt;"","V列に色付け","")</f>
        <v/>
      </c>
      <c r="AV152" s="1304"/>
      <c r="AW152" s="1305"/>
      <c r="AX152"/>
      <c r="AY152"/>
      <c r="AZ152"/>
      <c r="BA152"/>
      <c r="BB152"/>
      <c r="BC152"/>
      <c r="BD152"/>
      <c r="BE152"/>
      <c r="BF152"/>
      <c r="BG152"/>
      <c r="BH152"/>
      <c r="BI152"/>
      <c r="BJ152"/>
      <c r="BK152" s="452" t="str">
        <f>G150</f>
        <v/>
      </c>
    </row>
    <row r="153" spans="1:63" ht="30" customHeight="1" thickBot="1">
      <c r="A153" s="1268"/>
      <c r="B153" s="1411"/>
      <c r="C153" s="1412"/>
      <c r="D153" s="1412"/>
      <c r="E153" s="1412"/>
      <c r="F153" s="1413"/>
      <c r="G153" s="1253"/>
      <c r="H153" s="1253"/>
      <c r="I153" s="1253"/>
      <c r="J153" s="1416"/>
      <c r="K153" s="1253"/>
      <c r="L153" s="1277"/>
      <c r="M153" s="553" t="str">
        <f>IF('別紙様式2-2（４・５月分）'!P118="","",'別紙様式2-2（４・５月分）'!P118)</f>
        <v/>
      </c>
      <c r="N153" s="1394"/>
      <c r="O153" s="1374"/>
      <c r="P153" s="1376"/>
      <c r="Q153" s="1378"/>
      <c r="R153" s="1380"/>
      <c r="S153" s="1382"/>
      <c r="T153" s="1384"/>
      <c r="U153" s="1386"/>
      <c r="V153" s="1388"/>
      <c r="W153" s="1390"/>
      <c r="X153" s="1364"/>
      <c r="Y153" s="1390"/>
      <c r="Z153" s="1364"/>
      <c r="AA153" s="1390"/>
      <c r="AB153" s="1364"/>
      <c r="AC153" s="1390"/>
      <c r="AD153" s="1364"/>
      <c r="AE153" s="1364"/>
      <c r="AF153" s="1364"/>
      <c r="AG153" s="1360"/>
      <c r="AH153" s="1366"/>
      <c r="AI153" s="1368"/>
      <c r="AJ153" s="1370"/>
      <c r="AK153" s="1340"/>
      <c r="AL153" s="1344"/>
      <c r="AM153" s="1314"/>
      <c r="AN153" s="1314"/>
      <c r="AO153" s="1362"/>
      <c r="AP153" s="1314"/>
      <c r="AQ153" s="1318"/>
      <c r="AR153" s="1314"/>
      <c r="AS153" s="490"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4"/>
      <c r="AU153" s="1303"/>
      <c r="AV153" s="555" t="str">
        <f>IF('別紙様式2-2（４・５月分）'!N118="","",'別紙様式2-2（４・５月分）'!N118)</f>
        <v/>
      </c>
      <c r="AW153" s="1305"/>
      <c r="AX153"/>
      <c r="AY153"/>
      <c r="AZ153"/>
      <c r="BA153"/>
      <c r="BB153"/>
      <c r="BC153"/>
      <c r="BD153"/>
      <c r="BE153"/>
      <c r="BF153"/>
      <c r="BG153"/>
      <c r="BH153"/>
      <c r="BI153"/>
      <c r="BJ153"/>
      <c r="BK153" s="452" t="str">
        <f>G150</f>
        <v/>
      </c>
    </row>
    <row r="154" spans="1:63" ht="30" customHeight="1">
      <c r="A154" s="1293">
        <v>36</v>
      </c>
      <c r="B154" s="1232" t="str">
        <f>IF(基本情報入力シート!C89="","",基本情報入力シート!C89)</f>
        <v/>
      </c>
      <c r="C154" s="1233"/>
      <c r="D154" s="1233"/>
      <c r="E154" s="1233"/>
      <c r="F154" s="1234"/>
      <c r="G154" s="1251" t="str">
        <f>IF(基本情報入力シート!M89="","",基本情報入力シート!M89)</f>
        <v/>
      </c>
      <c r="H154" s="1251" t="str">
        <f>IF(基本情報入力シート!R89="","",基本情報入力シート!R89)</f>
        <v/>
      </c>
      <c r="I154" s="1251" t="str">
        <f>IF(基本情報入力シート!W89="","",基本情報入力シート!W89)</f>
        <v/>
      </c>
      <c r="J154" s="1414" t="str">
        <f>IF(基本情報入力シート!X89="","",基本情報入力シート!X89)</f>
        <v/>
      </c>
      <c r="K154" s="1251" t="str">
        <f>IF(基本情報入力シート!Y89="","",基本情報入力シート!Y89)</f>
        <v/>
      </c>
      <c r="L154" s="1275" t="str">
        <f>IF(基本情報入力シート!AB89="","",基本情報入力シート!AB89)</f>
        <v/>
      </c>
      <c r="M154" s="550" t="str">
        <f>IF('別紙様式2-2（４・５月分）'!P119="","",'別紙様式2-2（４・５月分）'!P119)</f>
        <v/>
      </c>
      <c r="N154" s="1391" t="str">
        <f>IF(SUM('別紙様式2-2（４・５月分）'!Q119:Q121)=0,"",SUM('別紙様式2-2（４・５月分）'!Q119:Q121))</f>
        <v/>
      </c>
      <c r="O154" s="1395" t="str">
        <f>IFERROR(VLOOKUP('別紙様式2-2（４・５月分）'!AQ119,【参考】数式用!$AR$5:$AS$22,2,FALSE),"")</f>
        <v/>
      </c>
      <c r="P154" s="1396"/>
      <c r="Q154" s="1397"/>
      <c r="R154" s="1401" t="str">
        <f>IFERROR(VLOOKUP(K154,【参考】数式用!$A$5:$AB$37,MATCH(O154,【参考】数式用!$B$4:$AB$4,0)+1,0),"")</f>
        <v/>
      </c>
      <c r="S154" s="1403" t="s">
        <v>2021</v>
      </c>
      <c r="T154" s="1405"/>
      <c r="U154" s="1407" t="str">
        <f>IFERROR(VLOOKUP(K154,【参考】数式用!$A$5:$AB$37,MATCH(T154,【参考】数式用!$B$4:$AB$4,0)+1,0),"")</f>
        <v/>
      </c>
      <c r="V154" s="1409" t="s">
        <v>15</v>
      </c>
      <c r="W154" s="1347">
        <v>6</v>
      </c>
      <c r="X154" s="1349" t="s">
        <v>10</v>
      </c>
      <c r="Y154" s="1347">
        <v>6</v>
      </c>
      <c r="Z154" s="1349" t="s">
        <v>38</v>
      </c>
      <c r="AA154" s="1347">
        <v>7</v>
      </c>
      <c r="AB154" s="1349" t="s">
        <v>10</v>
      </c>
      <c r="AC154" s="1347">
        <v>3</v>
      </c>
      <c r="AD154" s="1349" t="s">
        <v>13</v>
      </c>
      <c r="AE154" s="1349" t="s">
        <v>20</v>
      </c>
      <c r="AF154" s="1349">
        <f>IF(W154&gt;=1,(AA154*12+AC154)-(W154*12+Y154)+1,"")</f>
        <v>10</v>
      </c>
      <c r="AG154" s="1351" t="s">
        <v>33</v>
      </c>
      <c r="AH154" s="1353" t="str">
        <f t="shared" ref="AH154" si="377">IFERROR(ROUNDDOWN(ROUND(L154*U154,0),0)*AF154,"")</f>
        <v/>
      </c>
      <c r="AI154" s="1355" t="str">
        <f t="shared" ref="AI154" si="378">IFERROR(ROUNDDOWN(ROUND((L154*(U154-AW154)),0),0)*AF154,"")</f>
        <v/>
      </c>
      <c r="AJ154" s="1357">
        <f>IFERROR(IF(OR(M154="",M155="",M157=""),0,ROUNDDOWN(ROUNDDOWN(ROUND(L154*VLOOKUP(K154,【参考】数式用!$A$5:$AB$37,MATCH("新加算Ⅳ",【参考】数式用!$B$4:$AB$4,0)+1,0),0),0)*AF154*0.5,0)),"")</f>
        <v>0</v>
      </c>
      <c r="AK154" s="1341"/>
      <c r="AL154" s="1345">
        <f>IFERROR(IF(OR(M157="ベア加算",M157=""),0, IF(OR(T154="新加算Ⅰ",T154="新加算Ⅱ",T154="新加算Ⅲ",T154="新加算Ⅳ"),ROUNDDOWN(ROUND(L154*VLOOKUP(K154,【参考】数式用!$A$5:$I$37,MATCH("ベア加算",【参考】数式用!$B$4:$I$4,0)+1,0),0),0)*AF154,0)),"")</f>
        <v>0</v>
      </c>
      <c r="AM154" s="1331"/>
      <c r="AN154" s="1337"/>
      <c r="AO154" s="1333"/>
      <c r="AP154" s="1333"/>
      <c r="AQ154" s="1335"/>
      <c r="AR154" s="1315"/>
      <c r="AS154" s="465" t="str">
        <f t="shared" ref="AS154" si="379">IF(AU154="","",IF(U154&lt;N154,"！加算の要件上は問題ありませんが、令和６年４・５月と比較して令和６年６月に加算率が下がる計画になっています。",""))</f>
        <v/>
      </c>
      <c r="AT154" s="554"/>
      <c r="AU154" s="1303" t="str">
        <f>IF(K154&lt;&gt;"","V列に色付け","")</f>
        <v/>
      </c>
      <c r="AV154" s="555" t="str">
        <f>IF('別紙様式2-2（４・５月分）'!N119="","",'別紙様式2-2（４・５月分）'!N119)</f>
        <v/>
      </c>
      <c r="AW154" s="1305" t="str">
        <f>IF(SUM('別紙様式2-2（４・５月分）'!O119:O121)=0,"",SUM('別紙様式2-2（４・５月分）'!O119:O121))</f>
        <v/>
      </c>
      <c r="AX154" s="1306" t="str">
        <f>IFERROR(VLOOKUP(K154,【参考】数式用!$AH$2:$AI$34,2,FALSE),"")</f>
        <v/>
      </c>
      <c r="AY154" s="1222" t="s">
        <v>1959</v>
      </c>
      <c r="AZ154" s="1222" t="s">
        <v>1960</v>
      </c>
      <c r="BA154" s="1222" t="s">
        <v>1961</v>
      </c>
      <c r="BB154" s="1222" t="s">
        <v>1962</v>
      </c>
      <c r="BC154" s="1222" t="str">
        <f>IF(AND(O154&lt;&gt;"新加算Ⅰ",O154&lt;&gt;"新加算Ⅱ",O154&lt;&gt;"新加算Ⅲ",O154&lt;&gt;"新加算Ⅳ"),O154,IF(P156&lt;&gt;"",P156,""))</f>
        <v/>
      </c>
      <c r="BD154" s="1222"/>
      <c r="BE154" s="1222" t="str">
        <f t="shared" ref="BE154" si="380">IF(AL154&lt;&gt;0,IF(AM154="○","入力済","未入力"),"")</f>
        <v/>
      </c>
      <c r="BF154" s="1222"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2" t="str">
        <f>IF(OR(T154="新加算Ⅴ（７）",T154="新加算Ⅴ（９）",T154="新加算Ⅴ（10）",T154="新加算Ⅴ（12）",T154="新加算Ⅴ（13）",T154="新加算Ⅴ（14）"),IF(OR(AO154="○",AO154="令和６年度中に満たす"),"入力済","未入力"),"")</f>
        <v/>
      </c>
      <c r="BH154" s="1323" t="str">
        <f t="shared" ref="BH154" si="381">IF(OR(T154="新加算Ⅰ",T154="新加算Ⅱ",T154="新加算Ⅲ",T154="新加算Ⅴ（１）",T154="新加算Ⅴ（３）",T154="新加算Ⅴ（８）"),IF(OR(AP154="○",AP154="令和６年度中に満たす"),"入力済","未入力"),"")</f>
        <v/>
      </c>
      <c r="BI154" s="1325" t="str">
        <f t="shared" ref="BI154" si="382">IF(OR(T154="新加算Ⅰ",T154="新加算Ⅱ",T154="新加算Ⅴ（１）",T154="新加算Ⅴ（２）",T154="新加算Ⅴ（３）",T154="新加算Ⅴ（４）",T154="新加算Ⅴ（５）",T154="新加算Ⅴ（６）",T154="新加算Ⅴ（７）",T154="新加算Ⅴ（９）",T154="新加算Ⅴ（10）",T154="新加算Ⅴ（12）"),1,"")</f>
        <v/>
      </c>
      <c r="BJ154" s="1303" t="str">
        <f>IF(OR(T154="新加算Ⅰ",T154="新加算Ⅴ（１）",T154="新加算Ⅴ（２）",T154="新加算Ⅴ（５）",T154="新加算Ⅴ（７）",T154="新加算Ⅴ（10）"),IF(AR154="","未入力","入力済"),"")</f>
        <v/>
      </c>
      <c r="BK154" s="452" t="str">
        <f>G154</f>
        <v/>
      </c>
    </row>
    <row r="155" spans="1:63" ht="15" customHeight="1">
      <c r="A155" s="1267"/>
      <c r="B155" s="1235"/>
      <c r="C155" s="1236"/>
      <c r="D155" s="1236"/>
      <c r="E155" s="1236"/>
      <c r="F155" s="1237"/>
      <c r="G155" s="1252"/>
      <c r="H155" s="1252"/>
      <c r="I155" s="1252"/>
      <c r="J155" s="1415"/>
      <c r="K155" s="1252"/>
      <c r="L155" s="1276"/>
      <c r="M155" s="1371" t="str">
        <f>IF('別紙様式2-2（４・５月分）'!P120="","",'別紙様式2-2（４・５月分）'!P120)</f>
        <v/>
      </c>
      <c r="N155" s="1392"/>
      <c r="O155" s="1398"/>
      <c r="P155" s="1399"/>
      <c r="Q155" s="1400"/>
      <c r="R155" s="1402"/>
      <c r="S155" s="1404"/>
      <c r="T155" s="1406"/>
      <c r="U155" s="1408"/>
      <c r="V155" s="1410"/>
      <c r="W155" s="1348"/>
      <c r="X155" s="1350"/>
      <c r="Y155" s="1348"/>
      <c r="Z155" s="1350"/>
      <c r="AA155" s="1348"/>
      <c r="AB155" s="1350"/>
      <c r="AC155" s="1348"/>
      <c r="AD155" s="1350"/>
      <c r="AE155" s="1350"/>
      <c r="AF155" s="1350"/>
      <c r="AG155" s="1352"/>
      <c r="AH155" s="1354"/>
      <c r="AI155" s="1356"/>
      <c r="AJ155" s="1358"/>
      <c r="AK155" s="1342"/>
      <c r="AL155" s="1346"/>
      <c r="AM155" s="1332"/>
      <c r="AN155" s="1338"/>
      <c r="AO155" s="1334"/>
      <c r="AP155" s="1334"/>
      <c r="AQ155" s="1336"/>
      <c r="AR155" s="1316"/>
      <c r="AS155" s="1302"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4"/>
      <c r="AU155" s="1303"/>
      <c r="AV155" s="1304" t="str">
        <f>IF('別紙様式2-2（４・５月分）'!N120="","",'別紙様式2-2（４・５月分）'!N120)</f>
        <v/>
      </c>
      <c r="AW155" s="1305"/>
      <c r="AX155" s="1306"/>
      <c r="AY155" s="1222"/>
      <c r="AZ155" s="1222"/>
      <c r="BA155" s="1222"/>
      <c r="BB155" s="1222"/>
      <c r="BC155" s="1222"/>
      <c r="BD155" s="1222"/>
      <c r="BE155" s="1222"/>
      <c r="BF155" s="1222"/>
      <c r="BG155" s="1222"/>
      <c r="BH155" s="1324"/>
      <c r="BI155" s="1326"/>
      <c r="BJ155" s="1303"/>
      <c r="BK155" s="452" t="str">
        <f>G154</f>
        <v/>
      </c>
    </row>
    <row r="156" spans="1:63" ht="15" customHeight="1">
      <c r="A156" s="1295"/>
      <c r="B156" s="1235"/>
      <c r="C156" s="1236"/>
      <c r="D156" s="1236"/>
      <c r="E156" s="1236"/>
      <c r="F156" s="1237"/>
      <c r="G156" s="1252"/>
      <c r="H156" s="1252"/>
      <c r="I156" s="1252"/>
      <c r="J156" s="1415"/>
      <c r="K156" s="1252"/>
      <c r="L156" s="1276"/>
      <c r="M156" s="1372"/>
      <c r="N156" s="1393"/>
      <c r="O156" s="1373" t="s">
        <v>2025</v>
      </c>
      <c r="P156" s="1375" t="str">
        <f>IFERROR(VLOOKUP('別紙様式2-2（４・５月分）'!AQ119,【参考】数式用!$AR$5:$AT$22,3,FALSE),"")</f>
        <v/>
      </c>
      <c r="Q156" s="1377" t="s">
        <v>2036</v>
      </c>
      <c r="R156" s="1379" t="str">
        <f>IFERROR(VLOOKUP(K154,【参考】数式用!$A$5:$AB$37,MATCH(P156,【参考】数式用!$B$4:$AB$4,0)+1,0),"")</f>
        <v/>
      </c>
      <c r="S156" s="1381" t="s">
        <v>161</v>
      </c>
      <c r="T156" s="1383"/>
      <c r="U156" s="1385" t="str">
        <f>IFERROR(VLOOKUP(K154,【参考】数式用!$A$5:$AB$37,MATCH(T156,【参考】数式用!$B$4:$AB$4,0)+1,0),"")</f>
        <v/>
      </c>
      <c r="V156" s="1387" t="s">
        <v>15</v>
      </c>
      <c r="W156" s="1389">
        <v>7</v>
      </c>
      <c r="X156" s="1363" t="s">
        <v>10</v>
      </c>
      <c r="Y156" s="1389">
        <v>4</v>
      </c>
      <c r="Z156" s="1363" t="s">
        <v>38</v>
      </c>
      <c r="AA156" s="1389">
        <v>8</v>
      </c>
      <c r="AB156" s="1363" t="s">
        <v>10</v>
      </c>
      <c r="AC156" s="1389">
        <v>3</v>
      </c>
      <c r="AD156" s="1363" t="s">
        <v>13</v>
      </c>
      <c r="AE156" s="1363" t="s">
        <v>20</v>
      </c>
      <c r="AF156" s="1363">
        <f>IF(W156&gt;=1,(AA156*12+AC156)-(W156*12+Y156)+1,"")</f>
        <v>12</v>
      </c>
      <c r="AG156" s="1359" t="s">
        <v>33</v>
      </c>
      <c r="AH156" s="1365" t="str">
        <f t="shared" ref="AH156" si="384">IFERROR(ROUNDDOWN(ROUND(L154*U156,0),0)*AF156,"")</f>
        <v/>
      </c>
      <c r="AI156" s="1367" t="str">
        <f t="shared" ref="AI156" si="385">IFERROR(ROUNDDOWN(ROUND((L154*(U156-AW154)),0),0)*AF156,"")</f>
        <v/>
      </c>
      <c r="AJ156" s="1369">
        <f>IFERROR(IF(OR(M154="",M155="",M157=""),0,ROUNDDOWN(ROUNDDOWN(ROUND(L154*VLOOKUP(K154,【参考】数式用!$A$5:$AB$37,MATCH("新加算Ⅳ",【参考】数式用!$B$4:$AB$4,0)+1,0),0),0)*AF156*0.5,0)),"")</f>
        <v>0</v>
      </c>
      <c r="AK156" s="1339" t="str">
        <f t="shared" ref="AK156" si="386">IF(T156&lt;&gt;"","新規に適用","")</f>
        <v/>
      </c>
      <c r="AL156" s="1343">
        <f>IFERROR(IF(OR(M157="ベア加算",M157=""),0, IF(OR(T154="新加算Ⅰ",T154="新加算Ⅱ",T154="新加算Ⅲ",T154="新加算Ⅳ"),0,ROUNDDOWN(ROUND(L154*VLOOKUP(K154,【参考】数式用!$A$5:$I$37,MATCH("ベア加算",【参考】数式用!$B$4:$I$4,0)+1,0),0),0)*AF156)),"")</f>
        <v>0</v>
      </c>
      <c r="AM156" s="1313" t="str">
        <f>IF(AND(T156&lt;&gt;"",AM154=""),"新規に適用",IF(AND(T156&lt;&gt;"",AM154&lt;&gt;""),"継続で適用",""))</f>
        <v/>
      </c>
      <c r="AN156" s="1313" t="str">
        <f>IF(AND(T156&lt;&gt;"",AN154=""),"新規に適用",IF(AND(T156&lt;&gt;"",AN154&lt;&gt;""),"継続で適用",""))</f>
        <v/>
      </c>
      <c r="AO156" s="1361"/>
      <c r="AP156" s="1313" t="str">
        <f>IF(AND(T156&lt;&gt;"",AP154=""),"新規に適用",IF(AND(T156&lt;&gt;"",AP154&lt;&gt;""),"継続で適用",""))</f>
        <v/>
      </c>
      <c r="AQ156" s="1317" t="str">
        <f t="shared" si="243"/>
        <v/>
      </c>
      <c r="AR156" s="1313" t="str">
        <f>IF(AND(T156&lt;&gt;"",AR154=""),"新規に適用",IF(AND(T156&lt;&gt;"",AR154&lt;&gt;""),"継続で適用",""))</f>
        <v/>
      </c>
      <c r="AS156" s="1302"/>
      <c r="AT156" s="554"/>
      <c r="AU156" s="1303" t="str">
        <f>IF(K154&lt;&gt;"","V列に色付け","")</f>
        <v/>
      </c>
      <c r="AV156" s="1304"/>
      <c r="AW156" s="1305"/>
      <c r="AX156"/>
      <c r="AY156"/>
      <c r="AZ156"/>
      <c r="BA156"/>
      <c r="BB156"/>
      <c r="BC156"/>
      <c r="BD156"/>
      <c r="BE156"/>
      <c r="BF156"/>
      <c r="BG156"/>
      <c r="BH156"/>
      <c r="BI156"/>
      <c r="BJ156"/>
      <c r="BK156" s="452" t="str">
        <f>G154</f>
        <v/>
      </c>
    </row>
    <row r="157" spans="1:63" ht="30" customHeight="1" thickBot="1">
      <c r="A157" s="1268"/>
      <c r="B157" s="1411"/>
      <c r="C157" s="1412"/>
      <c r="D157" s="1412"/>
      <c r="E157" s="1412"/>
      <c r="F157" s="1413"/>
      <c r="G157" s="1253"/>
      <c r="H157" s="1253"/>
      <c r="I157" s="1253"/>
      <c r="J157" s="1416"/>
      <c r="K157" s="1253"/>
      <c r="L157" s="1277"/>
      <c r="M157" s="553" t="str">
        <f>IF('別紙様式2-2（４・５月分）'!P121="","",'別紙様式2-2（４・５月分）'!P121)</f>
        <v/>
      </c>
      <c r="N157" s="1394"/>
      <c r="O157" s="1374"/>
      <c r="P157" s="1376"/>
      <c r="Q157" s="1378"/>
      <c r="R157" s="1380"/>
      <c r="S157" s="1382"/>
      <c r="T157" s="1384"/>
      <c r="U157" s="1386"/>
      <c r="V157" s="1388"/>
      <c r="W157" s="1390"/>
      <c r="X157" s="1364"/>
      <c r="Y157" s="1390"/>
      <c r="Z157" s="1364"/>
      <c r="AA157" s="1390"/>
      <c r="AB157" s="1364"/>
      <c r="AC157" s="1390"/>
      <c r="AD157" s="1364"/>
      <c r="AE157" s="1364"/>
      <c r="AF157" s="1364"/>
      <c r="AG157" s="1360"/>
      <c r="AH157" s="1366"/>
      <c r="AI157" s="1368"/>
      <c r="AJ157" s="1370"/>
      <c r="AK157" s="1340"/>
      <c r="AL157" s="1344"/>
      <c r="AM157" s="1314"/>
      <c r="AN157" s="1314"/>
      <c r="AO157" s="1362"/>
      <c r="AP157" s="1314"/>
      <c r="AQ157" s="1318"/>
      <c r="AR157" s="1314"/>
      <c r="AS157" s="490"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4"/>
      <c r="AU157" s="1303"/>
      <c r="AV157" s="555" t="str">
        <f>IF('別紙様式2-2（４・５月分）'!N121="","",'別紙様式2-2（４・５月分）'!N121)</f>
        <v/>
      </c>
      <c r="AW157" s="1305"/>
      <c r="AX157"/>
      <c r="AY157"/>
      <c r="AZ157"/>
      <c r="BA157"/>
      <c r="BB157"/>
      <c r="BC157"/>
      <c r="BD157"/>
      <c r="BE157"/>
      <c r="BF157"/>
      <c r="BG157"/>
      <c r="BH157"/>
      <c r="BI157"/>
      <c r="BJ157"/>
      <c r="BK157" s="452" t="str">
        <f>G154</f>
        <v/>
      </c>
    </row>
    <row r="158" spans="1:63" ht="30" customHeight="1">
      <c r="A158" s="1266">
        <v>37</v>
      </c>
      <c r="B158" s="1235" t="str">
        <f>IF(基本情報入力シート!C90="","",基本情報入力シート!C90)</f>
        <v/>
      </c>
      <c r="C158" s="1236"/>
      <c r="D158" s="1236"/>
      <c r="E158" s="1236"/>
      <c r="F158" s="1237"/>
      <c r="G158" s="1252" t="str">
        <f>IF(基本情報入力シート!M90="","",基本情報入力シート!M90)</f>
        <v/>
      </c>
      <c r="H158" s="1252" t="str">
        <f>IF(基本情報入力シート!R90="","",基本情報入力シート!R90)</f>
        <v/>
      </c>
      <c r="I158" s="1252" t="str">
        <f>IF(基本情報入力シート!W90="","",基本情報入力シート!W90)</f>
        <v/>
      </c>
      <c r="J158" s="1415" t="str">
        <f>IF(基本情報入力シート!X90="","",基本情報入力シート!X90)</f>
        <v/>
      </c>
      <c r="K158" s="1252" t="str">
        <f>IF(基本情報入力シート!Y90="","",基本情報入力シート!Y90)</f>
        <v/>
      </c>
      <c r="L158" s="1276" t="str">
        <f>IF(基本情報入力シート!AB90="","",基本情報入力シート!AB90)</f>
        <v/>
      </c>
      <c r="M158" s="550" t="str">
        <f>IF('別紙様式2-2（４・５月分）'!P122="","",'別紙様式2-2（４・５月分）'!P122)</f>
        <v/>
      </c>
      <c r="N158" s="1391" t="str">
        <f>IF(SUM('別紙様式2-2（４・５月分）'!Q122:Q124)=0,"",SUM('別紙様式2-2（４・５月分）'!Q122:Q124))</f>
        <v/>
      </c>
      <c r="O158" s="1395" t="str">
        <f>IFERROR(VLOOKUP('別紙様式2-2（４・５月分）'!AQ122,【参考】数式用!$AR$5:$AS$22,2,FALSE),"")</f>
        <v/>
      </c>
      <c r="P158" s="1396"/>
      <c r="Q158" s="1397"/>
      <c r="R158" s="1401" t="str">
        <f>IFERROR(VLOOKUP(K158,【参考】数式用!$A$5:$AB$37,MATCH(O158,【参考】数式用!$B$4:$AB$4,0)+1,0),"")</f>
        <v/>
      </c>
      <c r="S158" s="1403" t="s">
        <v>2021</v>
      </c>
      <c r="T158" s="1405"/>
      <c r="U158" s="1407" t="str">
        <f>IFERROR(VLOOKUP(K158,【参考】数式用!$A$5:$AB$37,MATCH(T158,【参考】数式用!$B$4:$AB$4,0)+1,0),"")</f>
        <v/>
      </c>
      <c r="V158" s="1409" t="s">
        <v>15</v>
      </c>
      <c r="W158" s="1347">
        <v>6</v>
      </c>
      <c r="X158" s="1349" t="s">
        <v>10</v>
      </c>
      <c r="Y158" s="1347">
        <v>6</v>
      </c>
      <c r="Z158" s="1349" t="s">
        <v>38</v>
      </c>
      <c r="AA158" s="1347">
        <v>7</v>
      </c>
      <c r="AB158" s="1349" t="s">
        <v>10</v>
      </c>
      <c r="AC158" s="1347">
        <v>3</v>
      </c>
      <c r="AD158" s="1349" t="s">
        <v>13</v>
      </c>
      <c r="AE158" s="1349" t="s">
        <v>20</v>
      </c>
      <c r="AF158" s="1349">
        <f>IF(W158&gt;=1,(AA158*12+AC158)-(W158*12+Y158)+1,"")</f>
        <v>10</v>
      </c>
      <c r="AG158" s="1351" t="s">
        <v>33</v>
      </c>
      <c r="AH158" s="1353" t="str">
        <f t="shared" ref="AH158" si="388">IFERROR(ROUNDDOWN(ROUND(L158*U158,0),0)*AF158,"")</f>
        <v/>
      </c>
      <c r="AI158" s="1355" t="str">
        <f t="shared" ref="AI158" si="389">IFERROR(ROUNDDOWN(ROUND((L158*(U158-AW158)),0),0)*AF158,"")</f>
        <v/>
      </c>
      <c r="AJ158" s="1357">
        <f>IFERROR(IF(OR(M158="",M159="",M161=""),0,ROUNDDOWN(ROUNDDOWN(ROUND(L158*VLOOKUP(K158,【参考】数式用!$A$5:$AB$37,MATCH("新加算Ⅳ",【参考】数式用!$B$4:$AB$4,0)+1,0),0),0)*AF158*0.5,0)),"")</f>
        <v>0</v>
      </c>
      <c r="AK158" s="1341"/>
      <c r="AL158" s="1345">
        <f>IFERROR(IF(OR(M161="ベア加算",M161=""),0, IF(OR(T158="新加算Ⅰ",T158="新加算Ⅱ",T158="新加算Ⅲ",T158="新加算Ⅳ"),ROUNDDOWN(ROUND(L158*VLOOKUP(K158,【参考】数式用!$A$5:$I$37,MATCH("ベア加算",【参考】数式用!$B$4:$I$4,0)+1,0),0),0)*AF158,0)),"")</f>
        <v>0</v>
      </c>
      <c r="AM158" s="1331"/>
      <c r="AN158" s="1337"/>
      <c r="AO158" s="1333"/>
      <c r="AP158" s="1333"/>
      <c r="AQ158" s="1335"/>
      <c r="AR158" s="1315"/>
      <c r="AS158" s="465" t="str">
        <f t="shared" ref="AS158" si="390">IF(AU158="","",IF(U158&lt;N158,"！加算の要件上は問題ありませんが、令和６年４・５月と比較して令和６年６月に加算率が下がる計画になっています。",""))</f>
        <v/>
      </c>
      <c r="AT158" s="554"/>
      <c r="AU158" s="1303" t="str">
        <f>IF(K158&lt;&gt;"","V列に色付け","")</f>
        <v/>
      </c>
      <c r="AV158" s="555" t="str">
        <f>IF('別紙様式2-2（４・５月分）'!N122="","",'別紙様式2-2（４・５月分）'!N122)</f>
        <v/>
      </c>
      <c r="AW158" s="1305" t="str">
        <f>IF(SUM('別紙様式2-2（４・５月分）'!O122:O124)=0,"",SUM('別紙様式2-2（４・５月分）'!O122:O124))</f>
        <v/>
      </c>
      <c r="AX158" s="1306" t="str">
        <f>IFERROR(VLOOKUP(K158,【参考】数式用!$AH$2:$AI$34,2,FALSE),"")</f>
        <v/>
      </c>
      <c r="AY158" s="1222" t="s">
        <v>1959</v>
      </c>
      <c r="AZ158" s="1222" t="s">
        <v>1960</v>
      </c>
      <c r="BA158" s="1222" t="s">
        <v>1961</v>
      </c>
      <c r="BB158" s="1222" t="s">
        <v>1962</v>
      </c>
      <c r="BC158" s="1222" t="str">
        <f>IF(AND(O158&lt;&gt;"新加算Ⅰ",O158&lt;&gt;"新加算Ⅱ",O158&lt;&gt;"新加算Ⅲ",O158&lt;&gt;"新加算Ⅳ"),O158,IF(P160&lt;&gt;"",P160,""))</f>
        <v/>
      </c>
      <c r="BD158" s="1222"/>
      <c r="BE158" s="1222" t="str">
        <f t="shared" ref="BE158" si="391">IF(AL158&lt;&gt;0,IF(AM158="○","入力済","未入力"),"")</f>
        <v/>
      </c>
      <c r="BF158" s="1222"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2" t="str">
        <f>IF(OR(T158="新加算Ⅴ（７）",T158="新加算Ⅴ（９）",T158="新加算Ⅴ（10）",T158="新加算Ⅴ（12）",T158="新加算Ⅴ（13）",T158="新加算Ⅴ（14）"),IF(OR(AO158="○",AO158="令和６年度中に満たす"),"入力済","未入力"),"")</f>
        <v/>
      </c>
      <c r="BH158" s="1323" t="str">
        <f t="shared" ref="BH158" si="392">IF(OR(T158="新加算Ⅰ",T158="新加算Ⅱ",T158="新加算Ⅲ",T158="新加算Ⅴ（１）",T158="新加算Ⅴ（３）",T158="新加算Ⅴ（８）"),IF(OR(AP158="○",AP158="令和６年度中に満たす"),"入力済","未入力"),"")</f>
        <v/>
      </c>
      <c r="BI158" s="1325" t="str">
        <f t="shared" ref="BI158" si="393">IF(OR(T158="新加算Ⅰ",T158="新加算Ⅱ",T158="新加算Ⅴ（１）",T158="新加算Ⅴ（２）",T158="新加算Ⅴ（３）",T158="新加算Ⅴ（４）",T158="新加算Ⅴ（５）",T158="新加算Ⅴ（６）",T158="新加算Ⅴ（７）",T158="新加算Ⅴ（９）",T158="新加算Ⅴ（10）",T158="新加算Ⅴ（12）"),1,"")</f>
        <v/>
      </c>
      <c r="BJ158" s="1303" t="str">
        <f>IF(OR(T158="新加算Ⅰ",T158="新加算Ⅴ（１）",T158="新加算Ⅴ（２）",T158="新加算Ⅴ（５）",T158="新加算Ⅴ（７）",T158="新加算Ⅴ（10）"),IF(AR158="","未入力","入力済"),"")</f>
        <v/>
      </c>
      <c r="BK158" s="452" t="str">
        <f>G158</f>
        <v/>
      </c>
    </row>
    <row r="159" spans="1:63" ht="15" customHeight="1">
      <c r="A159" s="1267"/>
      <c r="B159" s="1235"/>
      <c r="C159" s="1236"/>
      <c r="D159" s="1236"/>
      <c r="E159" s="1236"/>
      <c r="F159" s="1237"/>
      <c r="G159" s="1252"/>
      <c r="H159" s="1252"/>
      <c r="I159" s="1252"/>
      <c r="J159" s="1415"/>
      <c r="K159" s="1252"/>
      <c r="L159" s="1276"/>
      <c r="M159" s="1371" t="str">
        <f>IF('別紙様式2-2（４・５月分）'!P123="","",'別紙様式2-2（４・５月分）'!P123)</f>
        <v/>
      </c>
      <c r="N159" s="1392"/>
      <c r="O159" s="1398"/>
      <c r="P159" s="1399"/>
      <c r="Q159" s="1400"/>
      <c r="R159" s="1402"/>
      <c r="S159" s="1404"/>
      <c r="T159" s="1406"/>
      <c r="U159" s="1408"/>
      <c r="V159" s="1410"/>
      <c r="W159" s="1348"/>
      <c r="X159" s="1350"/>
      <c r="Y159" s="1348"/>
      <c r="Z159" s="1350"/>
      <c r="AA159" s="1348"/>
      <c r="AB159" s="1350"/>
      <c r="AC159" s="1348"/>
      <c r="AD159" s="1350"/>
      <c r="AE159" s="1350"/>
      <c r="AF159" s="1350"/>
      <c r="AG159" s="1352"/>
      <c r="AH159" s="1354"/>
      <c r="AI159" s="1356"/>
      <c r="AJ159" s="1358"/>
      <c r="AK159" s="1342"/>
      <c r="AL159" s="1346"/>
      <c r="AM159" s="1332"/>
      <c r="AN159" s="1338"/>
      <c r="AO159" s="1334"/>
      <c r="AP159" s="1334"/>
      <c r="AQ159" s="1336"/>
      <c r="AR159" s="1316"/>
      <c r="AS159" s="1302"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4"/>
      <c r="AU159" s="1303"/>
      <c r="AV159" s="1304" t="str">
        <f>IF('別紙様式2-2（４・５月分）'!N123="","",'別紙様式2-2（４・５月分）'!N123)</f>
        <v/>
      </c>
      <c r="AW159" s="1305"/>
      <c r="AX159" s="1306"/>
      <c r="AY159" s="1222"/>
      <c r="AZ159" s="1222"/>
      <c r="BA159" s="1222"/>
      <c r="BB159" s="1222"/>
      <c r="BC159" s="1222"/>
      <c r="BD159" s="1222"/>
      <c r="BE159" s="1222"/>
      <c r="BF159" s="1222"/>
      <c r="BG159" s="1222"/>
      <c r="BH159" s="1324"/>
      <c r="BI159" s="1326"/>
      <c r="BJ159" s="1303"/>
      <c r="BK159" s="452" t="str">
        <f>G158</f>
        <v/>
      </c>
    </row>
    <row r="160" spans="1:63" ht="15" customHeight="1">
      <c r="A160" s="1295"/>
      <c r="B160" s="1235"/>
      <c r="C160" s="1236"/>
      <c r="D160" s="1236"/>
      <c r="E160" s="1236"/>
      <c r="F160" s="1237"/>
      <c r="G160" s="1252"/>
      <c r="H160" s="1252"/>
      <c r="I160" s="1252"/>
      <c r="J160" s="1415"/>
      <c r="K160" s="1252"/>
      <c r="L160" s="1276"/>
      <c r="M160" s="1372"/>
      <c r="N160" s="1393"/>
      <c r="O160" s="1373" t="s">
        <v>2025</v>
      </c>
      <c r="P160" s="1375" t="str">
        <f>IFERROR(VLOOKUP('別紙様式2-2（４・５月分）'!AQ122,【参考】数式用!$AR$5:$AT$22,3,FALSE),"")</f>
        <v/>
      </c>
      <c r="Q160" s="1377" t="s">
        <v>2036</v>
      </c>
      <c r="R160" s="1379" t="str">
        <f>IFERROR(VLOOKUP(K158,【参考】数式用!$A$5:$AB$37,MATCH(P160,【参考】数式用!$B$4:$AB$4,0)+1,0),"")</f>
        <v/>
      </c>
      <c r="S160" s="1381" t="s">
        <v>161</v>
      </c>
      <c r="T160" s="1383"/>
      <c r="U160" s="1385" t="str">
        <f>IFERROR(VLOOKUP(K158,【参考】数式用!$A$5:$AB$37,MATCH(T160,【参考】数式用!$B$4:$AB$4,0)+1,0),"")</f>
        <v/>
      </c>
      <c r="V160" s="1387" t="s">
        <v>15</v>
      </c>
      <c r="W160" s="1389">
        <v>7</v>
      </c>
      <c r="X160" s="1363" t="s">
        <v>10</v>
      </c>
      <c r="Y160" s="1389">
        <v>4</v>
      </c>
      <c r="Z160" s="1363" t="s">
        <v>38</v>
      </c>
      <c r="AA160" s="1389">
        <v>8</v>
      </c>
      <c r="AB160" s="1363" t="s">
        <v>10</v>
      </c>
      <c r="AC160" s="1389">
        <v>3</v>
      </c>
      <c r="AD160" s="1363" t="s">
        <v>13</v>
      </c>
      <c r="AE160" s="1363" t="s">
        <v>20</v>
      </c>
      <c r="AF160" s="1363">
        <f>IF(W160&gt;=1,(AA160*12+AC160)-(W160*12+Y160)+1,"")</f>
        <v>12</v>
      </c>
      <c r="AG160" s="1359" t="s">
        <v>33</v>
      </c>
      <c r="AH160" s="1365" t="str">
        <f t="shared" ref="AH160" si="395">IFERROR(ROUNDDOWN(ROUND(L158*U160,0),0)*AF160,"")</f>
        <v/>
      </c>
      <c r="AI160" s="1367" t="str">
        <f t="shared" ref="AI160" si="396">IFERROR(ROUNDDOWN(ROUND((L158*(U160-AW158)),0),0)*AF160,"")</f>
        <v/>
      </c>
      <c r="AJ160" s="1369">
        <f>IFERROR(IF(OR(M158="",M159="",M161=""),0,ROUNDDOWN(ROUNDDOWN(ROUND(L158*VLOOKUP(K158,【参考】数式用!$A$5:$AB$37,MATCH("新加算Ⅳ",【参考】数式用!$B$4:$AB$4,0)+1,0),0),0)*AF160*0.5,0)),"")</f>
        <v>0</v>
      </c>
      <c r="AK160" s="1339" t="str">
        <f t="shared" ref="AK160" si="397">IF(T160&lt;&gt;"","新規に適用","")</f>
        <v/>
      </c>
      <c r="AL160" s="1343">
        <f>IFERROR(IF(OR(M161="ベア加算",M161=""),0, IF(OR(T158="新加算Ⅰ",T158="新加算Ⅱ",T158="新加算Ⅲ",T158="新加算Ⅳ"),0,ROUNDDOWN(ROUND(L158*VLOOKUP(K158,【参考】数式用!$A$5:$I$37,MATCH("ベア加算",【参考】数式用!$B$4:$I$4,0)+1,0),0),0)*AF160)),"")</f>
        <v>0</v>
      </c>
      <c r="AM160" s="1313" t="str">
        <f>IF(AND(T160&lt;&gt;"",AM158=""),"新規に適用",IF(AND(T160&lt;&gt;"",AM158&lt;&gt;""),"継続で適用",""))</f>
        <v/>
      </c>
      <c r="AN160" s="1313" t="str">
        <f>IF(AND(T160&lt;&gt;"",AN158=""),"新規に適用",IF(AND(T160&lt;&gt;"",AN158&lt;&gt;""),"継続で適用",""))</f>
        <v/>
      </c>
      <c r="AO160" s="1361"/>
      <c r="AP160" s="1313" t="str">
        <f>IF(AND(T160&lt;&gt;"",AP158=""),"新規に適用",IF(AND(T160&lt;&gt;"",AP158&lt;&gt;""),"継続で適用",""))</f>
        <v/>
      </c>
      <c r="AQ160" s="1317" t="str">
        <f t="shared" si="243"/>
        <v/>
      </c>
      <c r="AR160" s="1313" t="str">
        <f>IF(AND(T160&lt;&gt;"",AR158=""),"新規に適用",IF(AND(T160&lt;&gt;"",AR158&lt;&gt;""),"継続で適用",""))</f>
        <v/>
      </c>
      <c r="AS160" s="1302"/>
      <c r="AT160" s="554"/>
      <c r="AU160" s="1303" t="str">
        <f>IF(K158&lt;&gt;"","V列に色付け","")</f>
        <v/>
      </c>
      <c r="AV160" s="1304"/>
      <c r="AW160" s="1305"/>
      <c r="AX160"/>
      <c r="AY160"/>
      <c r="AZ160"/>
      <c r="BA160"/>
      <c r="BB160"/>
      <c r="BC160"/>
      <c r="BD160"/>
      <c r="BE160"/>
      <c r="BF160"/>
      <c r="BG160"/>
      <c r="BH160"/>
      <c r="BI160"/>
      <c r="BJ160"/>
      <c r="BK160" s="452" t="str">
        <f>G158</f>
        <v/>
      </c>
    </row>
    <row r="161" spans="1:63" ht="30" customHeight="1" thickBot="1">
      <c r="A161" s="1268"/>
      <c r="B161" s="1411"/>
      <c r="C161" s="1412"/>
      <c r="D161" s="1412"/>
      <c r="E161" s="1412"/>
      <c r="F161" s="1413"/>
      <c r="G161" s="1253"/>
      <c r="H161" s="1253"/>
      <c r="I161" s="1253"/>
      <c r="J161" s="1416"/>
      <c r="K161" s="1253"/>
      <c r="L161" s="1277"/>
      <c r="M161" s="553" t="str">
        <f>IF('別紙様式2-2（４・５月分）'!P124="","",'別紙様式2-2（４・５月分）'!P124)</f>
        <v/>
      </c>
      <c r="N161" s="1394"/>
      <c r="O161" s="1374"/>
      <c r="P161" s="1376"/>
      <c r="Q161" s="1378"/>
      <c r="R161" s="1380"/>
      <c r="S161" s="1382"/>
      <c r="T161" s="1384"/>
      <c r="U161" s="1386"/>
      <c r="V161" s="1388"/>
      <c r="W161" s="1390"/>
      <c r="X161" s="1364"/>
      <c r="Y161" s="1390"/>
      <c r="Z161" s="1364"/>
      <c r="AA161" s="1390"/>
      <c r="AB161" s="1364"/>
      <c r="AC161" s="1390"/>
      <c r="AD161" s="1364"/>
      <c r="AE161" s="1364"/>
      <c r="AF161" s="1364"/>
      <c r="AG161" s="1360"/>
      <c r="AH161" s="1366"/>
      <c r="AI161" s="1368"/>
      <c r="AJ161" s="1370"/>
      <c r="AK161" s="1340"/>
      <c r="AL161" s="1344"/>
      <c r="AM161" s="1314"/>
      <c r="AN161" s="1314"/>
      <c r="AO161" s="1362"/>
      <c r="AP161" s="1314"/>
      <c r="AQ161" s="1318"/>
      <c r="AR161" s="1314"/>
      <c r="AS161" s="490"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4"/>
      <c r="AU161" s="1303"/>
      <c r="AV161" s="555" t="str">
        <f>IF('別紙様式2-2（４・５月分）'!N124="","",'別紙様式2-2（４・５月分）'!N124)</f>
        <v/>
      </c>
      <c r="AW161" s="1305"/>
      <c r="AX161"/>
      <c r="AY161"/>
      <c r="AZ161"/>
      <c r="BA161"/>
      <c r="BB161"/>
      <c r="BC161"/>
      <c r="BD161"/>
      <c r="BE161"/>
      <c r="BF161"/>
      <c r="BG161"/>
      <c r="BH161"/>
      <c r="BI161"/>
      <c r="BJ161"/>
      <c r="BK161" s="452" t="str">
        <f>G158</f>
        <v/>
      </c>
    </row>
    <row r="162" spans="1:63" ht="30" customHeight="1">
      <c r="A162" s="1293">
        <v>38</v>
      </c>
      <c r="B162" s="1232" t="str">
        <f>IF(基本情報入力シート!C91="","",基本情報入力シート!C91)</f>
        <v/>
      </c>
      <c r="C162" s="1233"/>
      <c r="D162" s="1233"/>
      <c r="E162" s="1233"/>
      <c r="F162" s="1234"/>
      <c r="G162" s="1251" t="str">
        <f>IF(基本情報入力シート!M91="","",基本情報入力シート!M91)</f>
        <v/>
      </c>
      <c r="H162" s="1251" t="str">
        <f>IF(基本情報入力シート!R91="","",基本情報入力シート!R91)</f>
        <v/>
      </c>
      <c r="I162" s="1251" t="str">
        <f>IF(基本情報入力シート!W91="","",基本情報入力シート!W91)</f>
        <v/>
      </c>
      <c r="J162" s="1414" t="str">
        <f>IF(基本情報入力シート!X91="","",基本情報入力シート!X91)</f>
        <v/>
      </c>
      <c r="K162" s="1251" t="str">
        <f>IF(基本情報入力シート!Y91="","",基本情報入力シート!Y91)</f>
        <v/>
      </c>
      <c r="L162" s="1275" t="str">
        <f>IF(基本情報入力シート!AB91="","",基本情報入力シート!AB91)</f>
        <v/>
      </c>
      <c r="M162" s="550" t="str">
        <f>IF('別紙様式2-2（４・５月分）'!P125="","",'別紙様式2-2（４・５月分）'!P125)</f>
        <v/>
      </c>
      <c r="N162" s="1391" t="str">
        <f>IF(SUM('別紙様式2-2（４・５月分）'!Q125:Q127)=0,"",SUM('別紙様式2-2（４・５月分）'!Q125:Q127))</f>
        <v/>
      </c>
      <c r="O162" s="1395" t="str">
        <f>IFERROR(VLOOKUP('別紙様式2-2（４・５月分）'!AQ125,【参考】数式用!$AR$5:$AS$22,2,FALSE),"")</f>
        <v/>
      </c>
      <c r="P162" s="1396"/>
      <c r="Q162" s="1397"/>
      <c r="R162" s="1401" t="str">
        <f>IFERROR(VLOOKUP(K162,【参考】数式用!$A$5:$AB$37,MATCH(O162,【参考】数式用!$B$4:$AB$4,0)+1,0),"")</f>
        <v/>
      </c>
      <c r="S162" s="1403" t="s">
        <v>2021</v>
      </c>
      <c r="T162" s="1405"/>
      <c r="U162" s="1407" t="str">
        <f>IFERROR(VLOOKUP(K162,【参考】数式用!$A$5:$AB$37,MATCH(T162,【参考】数式用!$B$4:$AB$4,0)+1,0),"")</f>
        <v/>
      </c>
      <c r="V162" s="1409" t="s">
        <v>15</v>
      </c>
      <c r="W162" s="1347">
        <v>6</v>
      </c>
      <c r="X162" s="1349" t="s">
        <v>10</v>
      </c>
      <c r="Y162" s="1347">
        <v>6</v>
      </c>
      <c r="Z162" s="1349" t="s">
        <v>38</v>
      </c>
      <c r="AA162" s="1347">
        <v>7</v>
      </c>
      <c r="AB162" s="1349" t="s">
        <v>10</v>
      </c>
      <c r="AC162" s="1347">
        <v>3</v>
      </c>
      <c r="AD162" s="1349" t="s">
        <v>13</v>
      </c>
      <c r="AE162" s="1349" t="s">
        <v>20</v>
      </c>
      <c r="AF162" s="1349">
        <f>IF(W162&gt;=1,(AA162*12+AC162)-(W162*12+Y162)+1,"")</f>
        <v>10</v>
      </c>
      <c r="AG162" s="1351" t="s">
        <v>33</v>
      </c>
      <c r="AH162" s="1353" t="str">
        <f t="shared" ref="AH162" si="399">IFERROR(ROUNDDOWN(ROUND(L162*U162,0),0)*AF162,"")</f>
        <v/>
      </c>
      <c r="AI162" s="1355" t="str">
        <f t="shared" ref="AI162" si="400">IFERROR(ROUNDDOWN(ROUND((L162*(U162-AW162)),0),0)*AF162,"")</f>
        <v/>
      </c>
      <c r="AJ162" s="1357">
        <f>IFERROR(IF(OR(M162="",M163="",M165=""),0,ROUNDDOWN(ROUNDDOWN(ROUND(L162*VLOOKUP(K162,【参考】数式用!$A$5:$AB$37,MATCH("新加算Ⅳ",【参考】数式用!$B$4:$AB$4,0)+1,0),0),0)*AF162*0.5,0)),"")</f>
        <v>0</v>
      </c>
      <c r="AK162" s="1341"/>
      <c r="AL162" s="1345">
        <f>IFERROR(IF(OR(M165="ベア加算",M165=""),0, IF(OR(T162="新加算Ⅰ",T162="新加算Ⅱ",T162="新加算Ⅲ",T162="新加算Ⅳ"),ROUNDDOWN(ROUND(L162*VLOOKUP(K162,【参考】数式用!$A$5:$I$37,MATCH("ベア加算",【参考】数式用!$B$4:$I$4,0)+1,0),0),0)*AF162,0)),"")</f>
        <v>0</v>
      </c>
      <c r="AM162" s="1331"/>
      <c r="AN162" s="1337"/>
      <c r="AO162" s="1333"/>
      <c r="AP162" s="1333"/>
      <c r="AQ162" s="1335"/>
      <c r="AR162" s="1315"/>
      <c r="AS162" s="465" t="str">
        <f t="shared" ref="AS162" si="401">IF(AU162="","",IF(U162&lt;N162,"！加算の要件上は問題ありませんが、令和６年４・５月と比較して令和６年６月に加算率が下がる計画になっています。",""))</f>
        <v/>
      </c>
      <c r="AT162" s="554"/>
      <c r="AU162" s="1303" t="str">
        <f>IF(K162&lt;&gt;"","V列に色付け","")</f>
        <v/>
      </c>
      <c r="AV162" s="555" t="str">
        <f>IF('別紙様式2-2（４・５月分）'!N125="","",'別紙様式2-2（４・５月分）'!N125)</f>
        <v/>
      </c>
      <c r="AW162" s="1305" t="str">
        <f>IF(SUM('別紙様式2-2（４・５月分）'!O125:O127)=0,"",SUM('別紙様式2-2（４・５月分）'!O125:O127))</f>
        <v/>
      </c>
      <c r="AX162" s="1306" t="str">
        <f>IFERROR(VLOOKUP(K162,【参考】数式用!$AH$2:$AI$34,2,FALSE),"")</f>
        <v/>
      </c>
      <c r="AY162" s="1222" t="s">
        <v>1959</v>
      </c>
      <c r="AZ162" s="1222" t="s">
        <v>1960</v>
      </c>
      <c r="BA162" s="1222" t="s">
        <v>1961</v>
      </c>
      <c r="BB162" s="1222" t="s">
        <v>1962</v>
      </c>
      <c r="BC162" s="1222" t="str">
        <f>IF(AND(O162&lt;&gt;"新加算Ⅰ",O162&lt;&gt;"新加算Ⅱ",O162&lt;&gt;"新加算Ⅲ",O162&lt;&gt;"新加算Ⅳ"),O162,IF(P164&lt;&gt;"",P164,""))</f>
        <v/>
      </c>
      <c r="BD162" s="1222"/>
      <c r="BE162" s="1222" t="str">
        <f t="shared" ref="BE162" si="402">IF(AL162&lt;&gt;0,IF(AM162="○","入力済","未入力"),"")</f>
        <v/>
      </c>
      <c r="BF162" s="1222"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2" t="str">
        <f>IF(OR(T162="新加算Ⅴ（７）",T162="新加算Ⅴ（９）",T162="新加算Ⅴ（10）",T162="新加算Ⅴ（12）",T162="新加算Ⅴ（13）",T162="新加算Ⅴ（14）"),IF(OR(AO162="○",AO162="令和６年度中に満たす"),"入力済","未入力"),"")</f>
        <v/>
      </c>
      <c r="BH162" s="1323" t="str">
        <f t="shared" ref="BH162" si="403">IF(OR(T162="新加算Ⅰ",T162="新加算Ⅱ",T162="新加算Ⅲ",T162="新加算Ⅴ（１）",T162="新加算Ⅴ（３）",T162="新加算Ⅴ（８）"),IF(OR(AP162="○",AP162="令和６年度中に満たす"),"入力済","未入力"),"")</f>
        <v/>
      </c>
      <c r="BI162" s="1325" t="str">
        <f t="shared" ref="BI162" si="404">IF(OR(T162="新加算Ⅰ",T162="新加算Ⅱ",T162="新加算Ⅴ（１）",T162="新加算Ⅴ（２）",T162="新加算Ⅴ（３）",T162="新加算Ⅴ（４）",T162="新加算Ⅴ（５）",T162="新加算Ⅴ（６）",T162="新加算Ⅴ（７）",T162="新加算Ⅴ（９）",T162="新加算Ⅴ（10）",T162="新加算Ⅴ（12）"),1,"")</f>
        <v/>
      </c>
      <c r="BJ162" s="1303" t="str">
        <f>IF(OR(T162="新加算Ⅰ",T162="新加算Ⅴ（１）",T162="新加算Ⅴ（２）",T162="新加算Ⅴ（５）",T162="新加算Ⅴ（７）",T162="新加算Ⅴ（10）"),IF(AR162="","未入力","入力済"),"")</f>
        <v/>
      </c>
      <c r="BK162" s="452" t="str">
        <f>G162</f>
        <v/>
      </c>
    </row>
    <row r="163" spans="1:63" ht="15" customHeight="1">
      <c r="A163" s="1267"/>
      <c r="B163" s="1235"/>
      <c r="C163" s="1236"/>
      <c r="D163" s="1236"/>
      <c r="E163" s="1236"/>
      <c r="F163" s="1237"/>
      <c r="G163" s="1252"/>
      <c r="H163" s="1252"/>
      <c r="I163" s="1252"/>
      <c r="J163" s="1415"/>
      <c r="K163" s="1252"/>
      <c r="L163" s="1276"/>
      <c r="M163" s="1371" t="str">
        <f>IF('別紙様式2-2（４・５月分）'!P126="","",'別紙様式2-2（４・５月分）'!P126)</f>
        <v/>
      </c>
      <c r="N163" s="1392"/>
      <c r="O163" s="1398"/>
      <c r="P163" s="1399"/>
      <c r="Q163" s="1400"/>
      <c r="R163" s="1402"/>
      <c r="S163" s="1404"/>
      <c r="T163" s="1406"/>
      <c r="U163" s="1408"/>
      <c r="V163" s="1410"/>
      <c r="W163" s="1348"/>
      <c r="X163" s="1350"/>
      <c r="Y163" s="1348"/>
      <c r="Z163" s="1350"/>
      <c r="AA163" s="1348"/>
      <c r="AB163" s="1350"/>
      <c r="AC163" s="1348"/>
      <c r="AD163" s="1350"/>
      <c r="AE163" s="1350"/>
      <c r="AF163" s="1350"/>
      <c r="AG163" s="1352"/>
      <c r="AH163" s="1354"/>
      <c r="AI163" s="1356"/>
      <c r="AJ163" s="1358"/>
      <c r="AK163" s="1342"/>
      <c r="AL163" s="1346"/>
      <c r="AM163" s="1332"/>
      <c r="AN163" s="1338"/>
      <c r="AO163" s="1334"/>
      <c r="AP163" s="1334"/>
      <c r="AQ163" s="1336"/>
      <c r="AR163" s="1316"/>
      <c r="AS163" s="1302"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4"/>
      <c r="AU163" s="1303"/>
      <c r="AV163" s="1304" t="str">
        <f>IF('別紙様式2-2（４・５月分）'!N126="","",'別紙様式2-2（４・５月分）'!N126)</f>
        <v/>
      </c>
      <c r="AW163" s="1305"/>
      <c r="AX163" s="1306"/>
      <c r="AY163" s="1222"/>
      <c r="AZ163" s="1222"/>
      <c r="BA163" s="1222"/>
      <c r="BB163" s="1222"/>
      <c r="BC163" s="1222"/>
      <c r="BD163" s="1222"/>
      <c r="BE163" s="1222"/>
      <c r="BF163" s="1222"/>
      <c r="BG163" s="1222"/>
      <c r="BH163" s="1324"/>
      <c r="BI163" s="1326"/>
      <c r="BJ163" s="1303"/>
      <c r="BK163" s="452" t="str">
        <f>G162</f>
        <v/>
      </c>
    </row>
    <row r="164" spans="1:63" ht="15" customHeight="1">
      <c r="A164" s="1295"/>
      <c r="B164" s="1235"/>
      <c r="C164" s="1236"/>
      <c r="D164" s="1236"/>
      <c r="E164" s="1236"/>
      <c r="F164" s="1237"/>
      <c r="G164" s="1252"/>
      <c r="H164" s="1252"/>
      <c r="I164" s="1252"/>
      <c r="J164" s="1415"/>
      <c r="K164" s="1252"/>
      <c r="L164" s="1276"/>
      <c r="M164" s="1372"/>
      <c r="N164" s="1393"/>
      <c r="O164" s="1373" t="s">
        <v>2025</v>
      </c>
      <c r="P164" s="1375" t="str">
        <f>IFERROR(VLOOKUP('別紙様式2-2（４・５月分）'!AQ125,【参考】数式用!$AR$5:$AT$22,3,FALSE),"")</f>
        <v/>
      </c>
      <c r="Q164" s="1377" t="s">
        <v>2036</v>
      </c>
      <c r="R164" s="1379" t="str">
        <f>IFERROR(VLOOKUP(K162,【参考】数式用!$A$5:$AB$37,MATCH(P164,【参考】数式用!$B$4:$AB$4,0)+1,0),"")</f>
        <v/>
      </c>
      <c r="S164" s="1381" t="s">
        <v>161</v>
      </c>
      <c r="T164" s="1383"/>
      <c r="U164" s="1385" t="str">
        <f>IFERROR(VLOOKUP(K162,【参考】数式用!$A$5:$AB$37,MATCH(T164,【参考】数式用!$B$4:$AB$4,0)+1,0),"")</f>
        <v/>
      </c>
      <c r="V164" s="1387" t="s">
        <v>15</v>
      </c>
      <c r="W164" s="1389">
        <v>7</v>
      </c>
      <c r="X164" s="1363" t="s">
        <v>10</v>
      </c>
      <c r="Y164" s="1389">
        <v>4</v>
      </c>
      <c r="Z164" s="1363" t="s">
        <v>38</v>
      </c>
      <c r="AA164" s="1389">
        <v>8</v>
      </c>
      <c r="AB164" s="1363" t="s">
        <v>10</v>
      </c>
      <c r="AC164" s="1389">
        <v>3</v>
      </c>
      <c r="AD164" s="1363" t="s">
        <v>13</v>
      </c>
      <c r="AE164" s="1363" t="s">
        <v>20</v>
      </c>
      <c r="AF164" s="1363">
        <f>IF(W164&gt;=1,(AA164*12+AC164)-(W164*12+Y164)+1,"")</f>
        <v>12</v>
      </c>
      <c r="AG164" s="1359" t="s">
        <v>33</v>
      </c>
      <c r="AH164" s="1365" t="str">
        <f t="shared" ref="AH164" si="406">IFERROR(ROUNDDOWN(ROUND(L162*U164,0),0)*AF164,"")</f>
        <v/>
      </c>
      <c r="AI164" s="1367" t="str">
        <f t="shared" ref="AI164" si="407">IFERROR(ROUNDDOWN(ROUND((L162*(U164-AW162)),0),0)*AF164,"")</f>
        <v/>
      </c>
      <c r="AJ164" s="1369">
        <f>IFERROR(IF(OR(M162="",M163="",M165=""),0,ROUNDDOWN(ROUNDDOWN(ROUND(L162*VLOOKUP(K162,【参考】数式用!$A$5:$AB$37,MATCH("新加算Ⅳ",【参考】数式用!$B$4:$AB$4,0)+1,0),0),0)*AF164*0.5,0)),"")</f>
        <v>0</v>
      </c>
      <c r="AK164" s="1339" t="str">
        <f t="shared" ref="AK164" si="408">IF(T164&lt;&gt;"","新規に適用","")</f>
        <v/>
      </c>
      <c r="AL164" s="1343">
        <f>IFERROR(IF(OR(M165="ベア加算",M165=""),0, IF(OR(T162="新加算Ⅰ",T162="新加算Ⅱ",T162="新加算Ⅲ",T162="新加算Ⅳ"),0,ROUNDDOWN(ROUND(L162*VLOOKUP(K162,【参考】数式用!$A$5:$I$37,MATCH("ベア加算",【参考】数式用!$B$4:$I$4,0)+1,0),0),0)*AF164)),"")</f>
        <v>0</v>
      </c>
      <c r="AM164" s="1313" t="str">
        <f>IF(AND(T164&lt;&gt;"",AM162=""),"新規に適用",IF(AND(T164&lt;&gt;"",AM162&lt;&gt;""),"継続で適用",""))</f>
        <v/>
      </c>
      <c r="AN164" s="1313" t="str">
        <f>IF(AND(T164&lt;&gt;"",AN162=""),"新規に適用",IF(AND(T164&lt;&gt;"",AN162&lt;&gt;""),"継続で適用",""))</f>
        <v/>
      </c>
      <c r="AO164" s="1361"/>
      <c r="AP164" s="1313" t="str">
        <f>IF(AND(T164&lt;&gt;"",AP162=""),"新規に適用",IF(AND(T164&lt;&gt;"",AP162&lt;&gt;""),"継続で適用",""))</f>
        <v/>
      </c>
      <c r="AQ164" s="1317" t="str">
        <f t="shared" si="243"/>
        <v/>
      </c>
      <c r="AR164" s="1313" t="str">
        <f>IF(AND(T164&lt;&gt;"",AR162=""),"新規に適用",IF(AND(T164&lt;&gt;"",AR162&lt;&gt;""),"継続で適用",""))</f>
        <v/>
      </c>
      <c r="AS164" s="1302"/>
      <c r="AT164" s="554"/>
      <c r="AU164" s="1303" t="str">
        <f>IF(K162&lt;&gt;"","V列に色付け","")</f>
        <v/>
      </c>
      <c r="AV164" s="1304"/>
      <c r="AW164" s="1305"/>
      <c r="AX164"/>
      <c r="AY164"/>
      <c r="AZ164"/>
      <c r="BA164"/>
      <c r="BB164"/>
      <c r="BC164"/>
      <c r="BD164"/>
      <c r="BE164"/>
      <c r="BF164"/>
      <c r="BG164"/>
      <c r="BH164"/>
      <c r="BI164"/>
      <c r="BJ164"/>
      <c r="BK164" s="452" t="str">
        <f>G162</f>
        <v/>
      </c>
    </row>
    <row r="165" spans="1:63" ht="30" customHeight="1" thickBot="1">
      <c r="A165" s="1268"/>
      <c r="B165" s="1411"/>
      <c r="C165" s="1412"/>
      <c r="D165" s="1412"/>
      <c r="E165" s="1412"/>
      <c r="F165" s="1413"/>
      <c r="G165" s="1253"/>
      <c r="H165" s="1253"/>
      <c r="I165" s="1253"/>
      <c r="J165" s="1416"/>
      <c r="K165" s="1253"/>
      <c r="L165" s="1277"/>
      <c r="M165" s="553" t="str">
        <f>IF('別紙様式2-2（４・５月分）'!P127="","",'別紙様式2-2（４・５月分）'!P127)</f>
        <v/>
      </c>
      <c r="N165" s="1394"/>
      <c r="O165" s="1374"/>
      <c r="P165" s="1376"/>
      <c r="Q165" s="1378"/>
      <c r="R165" s="1380"/>
      <c r="S165" s="1382"/>
      <c r="T165" s="1384"/>
      <c r="U165" s="1386"/>
      <c r="V165" s="1388"/>
      <c r="W165" s="1390"/>
      <c r="X165" s="1364"/>
      <c r="Y165" s="1390"/>
      <c r="Z165" s="1364"/>
      <c r="AA165" s="1390"/>
      <c r="AB165" s="1364"/>
      <c r="AC165" s="1390"/>
      <c r="AD165" s="1364"/>
      <c r="AE165" s="1364"/>
      <c r="AF165" s="1364"/>
      <c r="AG165" s="1360"/>
      <c r="AH165" s="1366"/>
      <c r="AI165" s="1368"/>
      <c r="AJ165" s="1370"/>
      <c r="AK165" s="1340"/>
      <c r="AL165" s="1344"/>
      <c r="AM165" s="1314"/>
      <c r="AN165" s="1314"/>
      <c r="AO165" s="1362"/>
      <c r="AP165" s="1314"/>
      <c r="AQ165" s="1318"/>
      <c r="AR165" s="1314"/>
      <c r="AS165" s="490"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4"/>
      <c r="AU165" s="1303"/>
      <c r="AV165" s="555" t="str">
        <f>IF('別紙様式2-2（４・５月分）'!N127="","",'別紙様式2-2（４・５月分）'!N127)</f>
        <v/>
      </c>
      <c r="AW165" s="1305"/>
      <c r="AX165"/>
      <c r="AY165"/>
      <c r="AZ165"/>
      <c r="BA165"/>
      <c r="BB165"/>
      <c r="BC165"/>
      <c r="BD165"/>
      <c r="BE165"/>
      <c r="BF165"/>
      <c r="BG165"/>
      <c r="BH165"/>
      <c r="BI165"/>
      <c r="BJ165"/>
      <c r="BK165" s="452" t="str">
        <f>G162</f>
        <v/>
      </c>
    </row>
    <row r="166" spans="1:63" ht="30" customHeight="1">
      <c r="A166" s="1266">
        <v>39</v>
      </c>
      <c r="B166" s="1235" t="str">
        <f>IF(基本情報入力シート!C92="","",基本情報入力シート!C92)</f>
        <v/>
      </c>
      <c r="C166" s="1236"/>
      <c r="D166" s="1236"/>
      <c r="E166" s="1236"/>
      <c r="F166" s="1237"/>
      <c r="G166" s="1252" t="str">
        <f>IF(基本情報入力シート!M92="","",基本情報入力シート!M92)</f>
        <v/>
      </c>
      <c r="H166" s="1252" t="str">
        <f>IF(基本情報入力シート!R92="","",基本情報入力シート!R92)</f>
        <v/>
      </c>
      <c r="I166" s="1252" t="str">
        <f>IF(基本情報入力シート!W92="","",基本情報入力シート!W92)</f>
        <v/>
      </c>
      <c r="J166" s="1415" t="str">
        <f>IF(基本情報入力シート!X92="","",基本情報入力シート!X92)</f>
        <v/>
      </c>
      <c r="K166" s="1252" t="str">
        <f>IF(基本情報入力シート!Y92="","",基本情報入力シート!Y92)</f>
        <v/>
      </c>
      <c r="L166" s="1276" t="str">
        <f>IF(基本情報入力シート!AB92="","",基本情報入力シート!AB92)</f>
        <v/>
      </c>
      <c r="M166" s="550" t="str">
        <f>IF('別紙様式2-2（４・５月分）'!P128="","",'別紙様式2-2（４・５月分）'!P128)</f>
        <v/>
      </c>
      <c r="N166" s="1391" t="str">
        <f>IF(SUM('別紙様式2-2（４・５月分）'!Q128:Q130)=0,"",SUM('別紙様式2-2（４・５月分）'!Q128:Q130))</f>
        <v/>
      </c>
      <c r="O166" s="1395" t="str">
        <f>IFERROR(VLOOKUP('別紙様式2-2（４・５月分）'!AQ128,【参考】数式用!$AR$5:$AS$22,2,FALSE),"")</f>
        <v/>
      </c>
      <c r="P166" s="1396"/>
      <c r="Q166" s="1397"/>
      <c r="R166" s="1401" t="str">
        <f>IFERROR(VLOOKUP(K166,【参考】数式用!$A$5:$AB$37,MATCH(O166,【参考】数式用!$B$4:$AB$4,0)+1,0),"")</f>
        <v/>
      </c>
      <c r="S166" s="1403" t="s">
        <v>2021</v>
      </c>
      <c r="T166" s="1405"/>
      <c r="U166" s="1407" t="str">
        <f>IFERROR(VLOOKUP(K166,【参考】数式用!$A$5:$AB$37,MATCH(T166,【参考】数式用!$B$4:$AB$4,0)+1,0),"")</f>
        <v/>
      </c>
      <c r="V166" s="1409" t="s">
        <v>15</v>
      </c>
      <c r="W166" s="1347">
        <v>6</v>
      </c>
      <c r="X166" s="1349" t="s">
        <v>10</v>
      </c>
      <c r="Y166" s="1347">
        <v>6</v>
      </c>
      <c r="Z166" s="1349" t="s">
        <v>38</v>
      </c>
      <c r="AA166" s="1347">
        <v>7</v>
      </c>
      <c r="AB166" s="1349" t="s">
        <v>10</v>
      </c>
      <c r="AC166" s="1347">
        <v>3</v>
      </c>
      <c r="AD166" s="1349" t="s">
        <v>13</v>
      </c>
      <c r="AE166" s="1349" t="s">
        <v>20</v>
      </c>
      <c r="AF166" s="1349">
        <f>IF(W166&gt;=1,(AA166*12+AC166)-(W166*12+Y166)+1,"")</f>
        <v>10</v>
      </c>
      <c r="AG166" s="1351" t="s">
        <v>33</v>
      </c>
      <c r="AH166" s="1353" t="str">
        <f t="shared" ref="AH166" si="410">IFERROR(ROUNDDOWN(ROUND(L166*U166,0),0)*AF166,"")</f>
        <v/>
      </c>
      <c r="AI166" s="1355" t="str">
        <f t="shared" ref="AI166" si="411">IFERROR(ROUNDDOWN(ROUND((L166*(U166-AW166)),0),0)*AF166,"")</f>
        <v/>
      </c>
      <c r="AJ166" s="1357">
        <f>IFERROR(IF(OR(M166="",M167="",M169=""),0,ROUNDDOWN(ROUNDDOWN(ROUND(L166*VLOOKUP(K166,【参考】数式用!$A$5:$AB$37,MATCH("新加算Ⅳ",【参考】数式用!$B$4:$AB$4,0)+1,0),0),0)*AF166*0.5,0)),"")</f>
        <v>0</v>
      </c>
      <c r="AK166" s="1341"/>
      <c r="AL166" s="1345">
        <f>IFERROR(IF(OR(M169="ベア加算",M169=""),0, IF(OR(T166="新加算Ⅰ",T166="新加算Ⅱ",T166="新加算Ⅲ",T166="新加算Ⅳ"),ROUNDDOWN(ROUND(L166*VLOOKUP(K166,【参考】数式用!$A$5:$I$37,MATCH("ベア加算",【参考】数式用!$B$4:$I$4,0)+1,0),0),0)*AF166,0)),"")</f>
        <v>0</v>
      </c>
      <c r="AM166" s="1331"/>
      <c r="AN166" s="1337"/>
      <c r="AO166" s="1333"/>
      <c r="AP166" s="1333"/>
      <c r="AQ166" s="1335"/>
      <c r="AR166" s="1315"/>
      <c r="AS166" s="465" t="str">
        <f t="shared" ref="AS166" si="412">IF(AU166="","",IF(U166&lt;N166,"！加算の要件上は問題ありませんが、令和６年４・５月と比較して令和６年６月に加算率が下がる計画になっています。",""))</f>
        <v/>
      </c>
      <c r="AT166" s="554"/>
      <c r="AU166" s="1303" t="str">
        <f>IF(K166&lt;&gt;"","V列に色付け","")</f>
        <v/>
      </c>
      <c r="AV166" s="555" t="str">
        <f>IF('別紙様式2-2（４・５月分）'!N128="","",'別紙様式2-2（４・５月分）'!N128)</f>
        <v/>
      </c>
      <c r="AW166" s="1305" t="str">
        <f>IF(SUM('別紙様式2-2（４・５月分）'!O128:O130)=0,"",SUM('別紙様式2-2（４・５月分）'!O128:O130))</f>
        <v/>
      </c>
      <c r="AX166" s="1306" t="str">
        <f>IFERROR(VLOOKUP(K166,【参考】数式用!$AH$2:$AI$34,2,FALSE),"")</f>
        <v/>
      </c>
      <c r="AY166" s="1222" t="s">
        <v>1959</v>
      </c>
      <c r="AZ166" s="1222" t="s">
        <v>1960</v>
      </c>
      <c r="BA166" s="1222" t="s">
        <v>1961</v>
      </c>
      <c r="BB166" s="1222" t="s">
        <v>1962</v>
      </c>
      <c r="BC166" s="1222" t="str">
        <f>IF(AND(O166&lt;&gt;"新加算Ⅰ",O166&lt;&gt;"新加算Ⅱ",O166&lt;&gt;"新加算Ⅲ",O166&lt;&gt;"新加算Ⅳ"),O166,IF(P168&lt;&gt;"",P168,""))</f>
        <v/>
      </c>
      <c r="BD166" s="1222"/>
      <c r="BE166" s="1222" t="str">
        <f t="shared" ref="BE166" si="413">IF(AL166&lt;&gt;0,IF(AM166="○","入力済","未入力"),"")</f>
        <v/>
      </c>
      <c r="BF166" s="1222"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2" t="str">
        <f>IF(OR(T166="新加算Ⅴ（７）",T166="新加算Ⅴ（９）",T166="新加算Ⅴ（10）",T166="新加算Ⅴ（12）",T166="新加算Ⅴ（13）",T166="新加算Ⅴ（14）"),IF(OR(AO166="○",AO166="令和６年度中に満たす"),"入力済","未入力"),"")</f>
        <v/>
      </c>
      <c r="BH166" s="1323" t="str">
        <f t="shared" ref="BH166" si="414">IF(OR(T166="新加算Ⅰ",T166="新加算Ⅱ",T166="新加算Ⅲ",T166="新加算Ⅴ（１）",T166="新加算Ⅴ（３）",T166="新加算Ⅴ（８）"),IF(OR(AP166="○",AP166="令和６年度中に満たす"),"入力済","未入力"),"")</f>
        <v/>
      </c>
      <c r="BI166" s="1325" t="str">
        <f t="shared" ref="BI166" si="415">IF(OR(T166="新加算Ⅰ",T166="新加算Ⅱ",T166="新加算Ⅴ（１）",T166="新加算Ⅴ（２）",T166="新加算Ⅴ（３）",T166="新加算Ⅴ（４）",T166="新加算Ⅴ（５）",T166="新加算Ⅴ（６）",T166="新加算Ⅴ（７）",T166="新加算Ⅴ（９）",T166="新加算Ⅴ（10）",T166="新加算Ⅴ（12）"),1,"")</f>
        <v/>
      </c>
      <c r="BJ166" s="1303" t="str">
        <f>IF(OR(T166="新加算Ⅰ",T166="新加算Ⅴ（１）",T166="新加算Ⅴ（２）",T166="新加算Ⅴ（５）",T166="新加算Ⅴ（７）",T166="新加算Ⅴ（10）"),IF(AR166="","未入力","入力済"),"")</f>
        <v/>
      </c>
      <c r="BK166" s="452" t="str">
        <f>G166</f>
        <v/>
      </c>
    </row>
    <row r="167" spans="1:63" ht="15" customHeight="1">
      <c r="A167" s="1267"/>
      <c r="B167" s="1235"/>
      <c r="C167" s="1236"/>
      <c r="D167" s="1236"/>
      <c r="E167" s="1236"/>
      <c r="F167" s="1237"/>
      <c r="G167" s="1252"/>
      <c r="H167" s="1252"/>
      <c r="I167" s="1252"/>
      <c r="J167" s="1415"/>
      <c r="K167" s="1252"/>
      <c r="L167" s="1276"/>
      <c r="M167" s="1371" t="str">
        <f>IF('別紙様式2-2（４・５月分）'!P129="","",'別紙様式2-2（４・５月分）'!P129)</f>
        <v/>
      </c>
      <c r="N167" s="1392"/>
      <c r="O167" s="1398"/>
      <c r="P167" s="1399"/>
      <c r="Q167" s="1400"/>
      <c r="R167" s="1402"/>
      <c r="S167" s="1404"/>
      <c r="T167" s="1406"/>
      <c r="U167" s="1408"/>
      <c r="V167" s="1410"/>
      <c r="W167" s="1348"/>
      <c r="X167" s="1350"/>
      <c r="Y167" s="1348"/>
      <c r="Z167" s="1350"/>
      <c r="AA167" s="1348"/>
      <c r="AB167" s="1350"/>
      <c r="AC167" s="1348"/>
      <c r="AD167" s="1350"/>
      <c r="AE167" s="1350"/>
      <c r="AF167" s="1350"/>
      <c r="AG167" s="1352"/>
      <c r="AH167" s="1354"/>
      <c r="AI167" s="1356"/>
      <c r="AJ167" s="1358"/>
      <c r="AK167" s="1342"/>
      <c r="AL167" s="1346"/>
      <c r="AM167" s="1332"/>
      <c r="AN167" s="1338"/>
      <c r="AO167" s="1334"/>
      <c r="AP167" s="1334"/>
      <c r="AQ167" s="1336"/>
      <c r="AR167" s="1316"/>
      <c r="AS167" s="1302"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4"/>
      <c r="AU167" s="1303"/>
      <c r="AV167" s="1304" t="str">
        <f>IF('別紙様式2-2（４・５月分）'!N129="","",'別紙様式2-2（４・５月分）'!N129)</f>
        <v/>
      </c>
      <c r="AW167" s="1305"/>
      <c r="AX167" s="1306"/>
      <c r="AY167" s="1222"/>
      <c r="AZ167" s="1222"/>
      <c r="BA167" s="1222"/>
      <c r="BB167" s="1222"/>
      <c r="BC167" s="1222"/>
      <c r="BD167" s="1222"/>
      <c r="BE167" s="1222"/>
      <c r="BF167" s="1222"/>
      <c r="BG167" s="1222"/>
      <c r="BH167" s="1324"/>
      <c r="BI167" s="1326"/>
      <c r="BJ167" s="1303"/>
      <c r="BK167" s="452" t="str">
        <f>G166</f>
        <v/>
      </c>
    </row>
    <row r="168" spans="1:63" ht="15" customHeight="1">
      <c r="A168" s="1295"/>
      <c r="B168" s="1235"/>
      <c r="C168" s="1236"/>
      <c r="D168" s="1236"/>
      <c r="E168" s="1236"/>
      <c r="F168" s="1237"/>
      <c r="G168" s="1252"/>
      <c r="H168" s="1252"/>
      <c r="I168" s="1252"/>
      <c r="J168" s="1415"/>
      <c r="K168" s="1252"/>
      <c r="L168" s="1276"/>
      <c r="M168" s="1372"/>
      <c r="N168" s="1393"/>
      <c r="O168" s="1373" t="s">
        <v>2025</v>
      </c>
      <c r="P168" s="1375" t="str">
        <f>IFERROR(VLOOKUP('別紙様式2-2（４・５月分）'!AQ128,【参考】数式用!$AR$5:$AT$22,3,FALSE),"")</f>
        <v/>
      </c>
      <c r="Q168" s="1377" t="s">
        <v>2036</v>
      </c>
      <c r="R168" s="1379" t="str">
        <f>IFERROR(VLOOKUP(K166,【参考】数式用!$A$5:$AB$37,MATCH(P168,【参考】数式用!$B$4:$AB$4,0)+1,0),"")</f>
        <v/>
      </c>
      <c r="S168" s="1381" t="s">
        <v>161</v>
      </c>
      <c r="T168" s="1383"/>
      <c r="U168" s="1385" t="str">
        <f>IFERROR(VLOOKUP(K166,【参考】数式用!$A$5:$AB$37,MATCH(T168,【参考】数式用!$B$4:$AB$4,0)+1,0),"")</f>
        <v/>
      </c>
      <c r="V168" s="1387" t="s">
        <v>15</v>
      </c>
      <c r="W168" s="1389">
        <v>7</v>
      </c>
      <c r="X168" s="1363" t="s">
        <v>10</v>
      </c>
      <c r="Y168" s="1389">
        <v>4</v>
      </c>
      <c r="Z168" s="1363" t="s">
        <v>38</v>
      </c>
      <c r="AA168" s="1389">
        <v>8</v>
      </c>
      <c r="AB168" s="1363" t="s">
        <v>10</v>
      </c>
      <c r="AC168" s="1389">
        <v>3</v>
      </c>
      <c r="AD168" s="1363" t="s">
        <v>13</v>
      </c>
      <c r="AE168" s="1363" t="s">
        <v>20</v>
      </c>
      <c r="AF168" s="1363">
        <f>IF(W168&gt;=1,(AA168*12+AC168)-(W168*12+Y168)+1,"")</f>
        <v>12</v>
      </c>
      <c r="AG168" s="1359" t="s">
        <v>33</v>
      </c>
      <c r="AH168" s="1365" t="str">
        <f t="shared" ref="AH168" si="417">IFERROR(ROUNDDOWN(ROUND(L166*U168,0),0)*AF168,"")</f>
        <v/>
      </c>
      <c r="AI168" s="1367" t="str">
        <f t="shared" ref="AI168" si="418">IFERROR(ROUNDDOWN(ROUND((L166*(U168-AW166)),0),0)*AF168,"")</f>
        <v/>
      </c>
      <c r="AJ168" s="1369">
        <f>IFERROR(IF(OR(M166="",M167="",M169=""),0,ROUNDDOWN(ROUNDDOWN(ROUND(L166*VLOOKUP(K166,【参考】数式用!$A$5:$AB$37,MATCH("新加算Ⅳ",【参考】数式用!$B$4:$AB$4,0)+1,0),0),0)*AF168*0.5,0)),"")</f>
        <v>0</v>
      </c>
      <c r="AK168" s="1339" t="str">
        <f t="shared" ref="AK168" si="419">IF(T168&lt;&gt;"","新規に適用","")</f>
        <v/>
      </c>
      <c r="AL168" s="1343">
        <f>IFERROR(IF(OR(M169="ベア加算",M169=""),0, IF(OR(T166="新加算Ⅰ",T166="新加算Ⅱ",T166="新加算Ⅲ",T166="新加算Ⅳ"),0,ROUNDDOWN(ROUND(L166*VLOOKUP(K166,【参考】数式用!$A$5:$I$37,MATCH("ベア加算",【参考】数式用!$B$4:$I$4,0)+1,0),0),0)*AF168)),"")</f>
        <v>0</v>
      </c>
      <c r="AM168" s="1313" t="str">
        <f>IF(AND(T168&lt;&gt;"",AM166=""),"新規に適用",IF(AND(T168&lt;&gt;"",AM166&lt;&gt;""),"継続で適用",""))</f>
        <v/>
      </c>
      <c r="AN168" s="1313" t="str">
        <f>IF(AND(T168&lt;&gt;"",AN166=""),"新規に適用",IF(AND(T168&lt;&gt;"",AN166&lt;&gt;""),"継続で適用",""))</f>
        <v/>
      </c>
      <c r="AO168" s="1361"/>
      <c r="AP168" s="1313" t="str">
        <f>IF(AND(T168&lt;&gt;"",AP166=""),"新規に適用",IF(AND(T168&lt;&gt;"",AP166&lt;&gt;""),"継続で適用",""))</f>
        <v/>
      </c>
      <c r="AQ168" s="1317"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13" t="str">
        <f>IF(AND(T168&lt;&gt;"",AR166=""),"新規に適用",IF(AND(T168&lt;&gt;"",AR166&lt;&gt;""),"継続で適用",""))</f>
        <v/>
      </c>
      <c r="AS168" s="1302"/>
      <c r="AT168" s="554"/>
      <c r="AU168" s="1303" t="str">
        <f>IF(K166&lt;&gt;"","V列に色付け","")</f>
        <v/>
      </c>
      <c r="AV168" s="1304"/>
      <c r="AW168" s="1305"/>
      <c r="AX168"/>
      <c r="AY168"/>
      <c r="AZ168"/>
      <c r="BA168"/>
      <c r="BB168"/>
      <c r="BC168"/>
      <c r="BD168"/>
      <c r="BE168"/>
      <c r="BF168"/>
      <c r="BG168"/>
      <c r="BH168"/>
      <c r="BI168"/>
      <c r="BJ168"/>
      <c r="BK168" s="452" t="str">
        <f>G166</f>
        <v/>
      </c>
    </row>
    <row r="169" spans="1:63" ht="30" customHeight="1" thickBot="1">
      <c r="A169" s="1268"/>
      <c r="B169" s="1411"/>
      <c r="C169" s="1412"/>
      <c r="D169" s="1412"/>
      <c r="E169" s="1412"/>
      <c r="F169" s="1413"/>
      <c r="G169" s="1253"/>
      <c r="H169" s="1253"/>
      <c r="I169" s="1253"/>
      <c r="J169" s="1416"/>
      <c r="K169" s="1253"/>
      <c r="L169" s="1277"/>
      <c r="M169" s="553" t="str">
        <f>IF('別紙様式2-2（４・５月分）'!P130="","",'別紙様式2-2（４・５月分）'!P130)</f>
        <v/>
      </c>
      <c r="N169" s="1394"/>
      <c r="O169" s="1374"/>
      <c r="P169" s="1376"/>
      <c r="Q169" s="1378"/>
      <c r="R169" s="1380"/>
      <c r="S169" s="1382"/>
      <c r="T169" s="1384"/>
      <c r="U169" s="1386"/>
      <c r="V169" s="1388"/>
      <c r="W169" s="1390"/>
      <c r="X169" s="1364"/>
      <c r="Y169" s="1390"/>
      <c r="Z169" s="1364"/>
      <c r="AA169" s="1390"/>
      <c r="AB169" s="1364"/>
      <c r="AC169" s="1390"/>
      <c r="AD169" s="1364"/>
      <c r="AE169" s="1364"/>
      <c r="AF169" s="1364"/>
      <c r="AG169" s="1360"/>
      <c r="AH169" s="1366"/>
      <c r="AI169" s="1368"/>
      <c r="AJ169" s="1370"/>
      <c r="AK169" s="1340"/>
      <c r="AL169" s="1344"/>
      <c r="AM169" s="1314"/>
      <c r="AN169" s="1314"/>
      <c r="AO169" s="1362"/>
      <c r="AP169" s="1314"/>
      <c r="AQ169" s="1318"/>
      <c r="AR169" s="1314"/>
      <c r="AS169" s="490"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4"/>
      <c r="AU169" s="1303"/>
      <c r="AV169" s="555" t="str">
        <f>IF('別紙様式2-2（４・５月分）'!N130="","",'別紙様式2-2（４・５月分）'!N130)</f>
        <v/>
      </c>
      <c r="AW169" s="1305"/>
      <c r="AX169"/>
      <c r="AY169"/>
      <c r="AZ169"/>
      <c r="BA169"/>
      <c r="BB169"/>
      <c r="BC169"/>
      <c r="BD169"/>
      <c r="BE169"/>
      <c r="BF169"/>
      <c r="BG169"/>
      <c r="BH169"/>
      <c r="BI169"/>
      <c r="BJ169"/>
      <c r="BK169" s="452" t="str">
        <f>G166</f>
        <v/>
      </c>
    </row>
    <row r="170" spans="1:63" ht="30" customHeight="1">
      <c r="A170" s="1293">
        <v>40</v>
      </c>
      <c r="B170" s="1235" t="str">
        <f>IF(基本情報入力シート!C93="","",基本情報入力シート!C93)</f>
        <v/>
      </c>
      <c r="C170" s="1236"/>
      <c r="D170" s="1236"/>
      <c r="E170" s="1236"/>
      <c r="F170" s="1237"/>
      <c r="G170" s="1252" t="str">
        <f>IF(基本情報入力シート!M93="","",基本情報入力シート!M93)</f>
        <v/>
      </c>
      <c r="H170" s="1252" t="str">
        <f>IF(基本情報入力シート!R93="","",基本情報入力シート!R93)</f>
        <v/>
      </c>
      <c r="I170" s="1252" t="str">
        <f>IF(基本情報入力シート!W93="","",基本情報入力シート!W93)</f>
        <v/>
      </c>
      <c r="J170" s="1415" t="str">
        <f>IF(基本情報入力シート!X93="","",基本情報入力シート!X93)</f>
        <v/>
      </c>
      <c r="K170" s="1252" t="str">
        <f>IF(基本情報入力シート!Y93="","",基本情報入力シート!Y93)</f>
        <v/>
      </c>
      <c r="L170" s="1276" t="str">
        <f>IF(基本情報入力シート!AB93="","",基本情報入力シート!AB93)</f>
        <v/>
      </c>
      <c r="M170" s="550" t="str">
        <f>IF('別紙様式2-2（４・５月分）'!P131="","",'別紙様式2-2（４・５月分）'!P131)</f>
        <v/>
      </c>
      <c r="N170" s="1391" t="str">
        <f>IF(SUM('別紙様式2-2（４・５月分）'!Q131:Q133)=0,"",SUM('別紙様式2-2（４・５月分）'!Q131:Q133))</f>
        <v/>
      </c>
      <c r="O170" s="1395" t="str">
        <f>IFERROR(VLOOKUP('別紙様式2-2（４・５月分）'!AQ131,【参考】数式用!$AR$5:$AS$22,2,FALSE),"")</f>
        <v/>
      </c>
      <c r="P170" s="1396"/>
      <c r="Q170" s="1397"/>
      <c r="R170" s="1401" t="str">
        <f>IFERROR(VLOOKUP(K170,【参考】数式用!$A$5:$AB$37,MATCH(O170,【参考】数式用!$B$4:$AB$4,0)+1,0),"")</f>
        <v/>
      </c>
      <c r="S170" s="1403" t="s">
        <v>2021</v>
      </c>
      <c r="T170" s="1405"/>
      <c r="U170" s="1407" t="str">
        <f>IFERROR(VLOOKUP(K170,【参考】数式用!$A$5:$AB$37,MATCH(T170,【参考】数式用!$B$4:$AB$4,0)+1,0),"")</f>
        <v/>
      </c>
      <c r="V170" s="1409" t="s">
        <v>15</v>
      </c>
      <c r="W170" s="1347">
        <v>6</v>
      </c>
      <c r="X170" s="1349" t="s">
        <v>10</v>
      </c>
      <c r="Y170" s="1347">
        <v>6</v>
      </c>
      <c r="Z170" s="1349" t="s">
        <v>38</v>
      </c>
      <c r="AA170" s="1347">
        <v>7</v>
      </c>
      <c r="AB170" s="1349" t="s">
        <v>10</v>
      </c>
      <c r="AC170" s="1347">
        <v>3</v>
      </c>
      <c r="AD170" s="1349" t="s">
        <v>13</v>
      </c>
      <c r="AE170" s="1349" t="s">
        <v>20</v>
      </c>
      <c r="AF170" s="1349">
        <f>IF(W170&gt;=1,(AA170*12+AC170)-(W170*12+Y170)+1,"")</f>
        <v>10</v>
      </c>
      <c r="AG170" s="1351" t="s">
        <v>33</v>
      </c>
      <c r="AH170" s="1353" t="str">
        <f t="shared" ref="AH170" si="422">IFERROR(ROUNDDOWN(ROUND(L170*U170,0),0)*AF170,"")</f>
        <v/>
      </c>
      <c r="AI170" s="1355" t="str">
        <f t="shared" ref="AI170" si="423">IFERROR(ROUNDDOWN(ROUND((L170*(U170-AW170)),0),0)*AF170,"")</f>
        <v/>
      </c>
      <c r="AJ170" s="1357">
        <f>IFERROR(IF(OR(M170="",M171="",M173=""),0,ROUNDDOWN(ROUNDDOWN(ROUND(L170*VLOOKUP(K170,【参考】数式用!$A$5:$AB$37,MATCH("新加算Ⅳ",【参考】数式用!$B$4:$AB$4,0)+1,0),0),0)*AF170*0.5,0)),"")</f>
        <v>0</v>
      </c>
      <c r="AK170" s="1341"/>
      <c r="AL170" s="1345">
        <f>IFERROR(IF(OR(M173="ベア加算",M173=""),0, IF(OR(T170="新加算Ⅰ",T170="新加算Ⅱ",T170="新加算Ⅲ",T170="新加算Ⅳ"),ROUNDDOWN(ROUND(L170*VLOOKUP(K170,【参考】数式用!$A$5:$I$37,MATCH("ベア加算",【参考】数式用!$B$4:$I$4,0)+1,0),0),0)*AF170,0)),"")</f>
        <v>0</v>
      </c>
      <c r="AM170" s="1331"/>
      <c r="AN170" s="1337"/>
      <c r="AO170" s="1333"/>
      <c r="AP170" s="1333"/>
      <c r="AQ170" s="1335"/>
      <c r="AR170" s="1315"/>
      <c r="AS170" s="465" t="str">
        <f t="shared" ref="AS170" si="424">IF(AU170="","",IF(U170&lt;N170,"！加算の要件上は問題ありませんが、令和６年４・５月と比較して令和６年６月に加算率が下がる計画になっています。",""))</f>
        <v/>
      </c>
      <c r="AT170" s="554"/>
      <c r="AU170" s="1303" t="str">
        <f>IF(K170&lt;&gt;"","V列に色付け","")</f>
        <v/>
      </c>
      <c r="AV170" s="555" t="str">
        <f>IF('別紙様式2-2（４・５月分）'!N131="","",'別紙様式2-2（４・５月分）'!N131)</f>
        <v/>
      </c>
      <c r="AW170" s="1305" t="str">
        <f>IF(SUM('別紙様式2-2（４・５月分）'!O131:O133)=0,"",SUM('別紙様式2-2（４・５月分）'!O131:O133))</f>
        <v/>
      </c>
      <c r="AX170" s="1306" t="str">
        <f>IFERROR(VLOOKUP(K170,【参考】数式用!$AH$2:$AI$34,2,FALSE),"")</f>
        <v/>
      </c>
      <c r="AY170" s="1222" t="s">
        <v>1959</v>
      </c>
      <c r="AZ170" s="1222" t="s">
        <v>1960</v>
      </c>
      <c r="BA170" s="1222" t="s">
        <v>1961</v>
      </c>
      <c r="BB170" s="1222" t="s">
        <v>1962</v>
      </c>
      <c r="BC170" s="1222" t="str">
        <f>IF(AND(O170&lt;&gt;"新加算Ⅰ",O170&lt;&gt;"新加算Ⅱ",O170&lt;&gt;"新加算Ⅲ",O170&lt;&gt;"新加算Ⅳ"),O170,IF(P172&lt;&gt;"",P172,""))</f>
        <v/>
      </c>
      <c r="BD170" s="1222"/>
      <c r="BE170" s="1222" t="str">
        <f t="shared" ref="BE170" si="425">IF(AL170&lt;&gt;0,IF(AM170="○","入力済","未入力"),"")</f>
        <v/>
      </c>
      <c r="BF170" s="1222"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2" t="str">
        <f>IF(OR(T170="新加算Ⅴ（７）",T170="新加算Ⅴ（９）",T170="新加算Ⅴ（10）",T170="新加算Ⅴ（12）",T170="新加算Ⅴ（13）",T170="新加算Ⅴ（14）"),IF(OR(AO170="○",AO170="令和６年度中に満たす"),"入力済","未入力"),"")</f>
        <v/>
      </c>
      <c r="BH170" s="1323" t="str">
        <f t="shared" ref="BH170" si="426">IF(OR(T170="新加算Ⅰ",T170="新加算Ⅱ",T170="新加算Ⅲ",T170="新加算Ⅴ（１）",T170="新加算Ⅴ（３）",T170="新加算Ⅴ（８）"),IF(OR(AP170="○",AP170="令和６年度中に満たす"),"入力済","未入力"),"")</f>
        <v/>
      </c>
      <c r="BI170" s="1325" t="str">
        <f t="shared" ref="BI170" si="427">IF(OR(T170="新加算Ⅰ",T170="新加算Ⅱ",T170="新加算Ⅴ（１）",T170="新加算Ⅴ（２）",T170="新加算Ⅴ（３）",T170="新加算Ⅴ（４）",T170="新加算Ⅴ（５）",T170="新加算Ⅴ（６）",T170="新加算Ⅴ（７）",T170="新加算Ⅴ（９）",T170="新加算Ⅴ（10）",T170="新加算Ⅴ（12）"),1,"")</f>
        <v/>
      </c>
      <c r="BJ170" s="1303" t="str">
        <f>IF(OR(T170="新加算Ⅰ",T170="新加算Ⅴ（１）",T170="新加算Ⅴ（２）",T170="新加算Ⅴ（５）",T170="新加算Ⅴ（７）",T170="新加算Ⅴ（10）"),IF(AR170="","未入力","入力済"),"")</f>
        <v/>
      </c>
      <c r="BK170" s="452" t="str">
        <f>G170</f>
        <v/>
      </c>
    </row>
    <row r="171" spans="1:63" ht="15" customHeight="1">
      <c r="A171" s="1267"/>
      <c r="B171" s="1235"/>
      <c r="C171" s="1236"/>
      <c r="D171" s="1236"/>
      <c r="E171" s="1236"/>
      <c r="F171" s="1237"/>
      <c r="G171" s="1252"/>
      <c r="H171" s="1252"/>
      <c r="I171" s="1252"/>
      <c r="J171" s="1415"/>
      <c r="K171" s="1252"/>
      <c r="L171" s="1276"/>
      <c r="M171" s="1371" t="str">
        <f>IF('別紙様式2-2（４・５月分）'!P132="","",'別紙様式2-2（４・５月分）'!P132)</f>
        <v/>
      </c>
      <c r="N171" s="1392"/>
      <c r="O171" s="1398"/>
      <c r="P171" s="1399"/>
      <c r="Q171" s="1400"/>
      <c r="R171" s="1402"/>
      <c r="S171" s="1404"/>
      <c r="T171" s="1406"/>
      <c r="U171" s="1408"/>
      <c r="V171" s="1410"/>
      <c r="W171" s="1348"/>
      <c r="X171" s="1350"/>
      <c r="Y171" s="1348"/>
      <c r="Z171" s="1350"/>
      <c r="AA171" s="1348"/>
      <c r="AB171" s="1350"/>
      <c r="AC171" s="1348"/>
      <c r="AD171" s="1350"/>
      <c r="AE171" s="1350"/>
      <c r="AF171" s="1350"/>
      <c r="AG171" s="1352"/>
      <c r="AH171" s="1354"/>
      <c r="AI171" s="1356"/>
      <c r="AJ171" s="1358"/>
      <c r="AK171" s="1342"/>
      <c r="AL171" s="1346"/>
      <c r="AM171" s="1332"/>
      <c r="AN171" s="1338"/>
      <c r="AO171" s="1334"/>
      <c r="AP171" s="1334"/>
      <c r="AQ171" s="1336"/>
      <c r="AR171" s="1316"/>
      <c r="AS171" s="1302"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4"/>
      <c r="AU171" s="1303"/>
      <c r="AV171" s="1304" t="str">
        <f>IF('別紙様式2-2（４・５月分）'!N132="","",'別紙様式2-2（４・５月分）'!N132)</f>
        <v/>
      </c>
      <c r="AW171" s="1305"/>
      <c r="AX171" s="1306"/>
      <c r="AY171" s="1222"/>
      <c r="AZ171" s="1222"/>
      <c r="BA171" s="1222"/>
      <c r="BB171" s="1222"/>
      <c r="BC171" s="1222"/>
      <c r="BD171" s="1222"/>
      <c r="BE171" s="1222"/>
      <c r="BF171" s="1222"/>
      <c r="BG171" s="1222"/>
      <c r="BH171" s="1324"/>
      <c r="BI171" s="1326"/>
      <c r="BJ171" s="1303"/>
      <c r="BK171" s="452" t="str">
        <f>G170</f>
        <v/>
      </c>
    </row>
    <row r="172" spans="1:63" ht="15" customHeight="1">
      <c r="A172" s="1295"/>
      <c r="B172" s="1235"/>
      <c r="C172" s="1236"/>
      <c r="D172" s="1236"/>
      <c r="E172" s="1236"/>
      <c r="F172" s="1237"/>
      <c r="G172" s="1252"/>
      <c r="H172" s="1252"/>
      <c r="I172" s="1252"/>
      <c r="J172" s="1415"/>
      <c r="K172" s="1252"/>
      <c r="L172" s="1276"/>
      <c r="M172" s="1372"/>
      <c r="N172" s="1393"/>
      <c r="O172" s="1373" t="s">
        <v>2025</v>
      </c>
      <c r="P172" s="1375" t="str">
        <f>IFERROR(VLOOKUP('別紙様式2-2（４・５月分）'!AQ131,【参考】数式用!$AR$5:$AT$22,3,FALSE),"")</f>
        <v/>
      </c>
      <c r="Q172" s="1377" t="s">
        <v>2036</v>
      </c>
      <c r="R172" s="1379" t="str">
        <f>IFERROR(VLOOKUP(K170,【参考】数式用!$A$5:$AB$37,MATCH(P172,【参考】数式用!$B$4:$AB$4,0)+1,0),"")</f>
        <v/>
      </c>
      <c r="S172" s="1381" t="s">
        <v>161</v>
      </c>
      <c r="T172" s="1383"/>
      <c r="U172" s="1385" t="str">
        <f>IFERROR(VLOOKUP(K170,【参考】数式用!$A$5:$AB$37,MATCH(T172,【参考】数式用!$B$4:$AB$4,0)+1,0),"")</f>
        <v/>
      </c>
      <c r="V172" s="1387" t="s">
        <v>15</v>
      </c>
      <c r="W172" s="1389">
        <v>7</v>
      </c>
      <c r="X172" s="1363" t="s">
        <v>10</v>
      </c>
      <c r="Y172" s="1389">
        <v>4</v>
      </c>
      <c r="Z172" s="1363" t="s">
        <v>38</v>
      </c>
      <c r="AA172" s="1389">
        <v>8</v>
      </c>
      <c r="AB172" s="1363" t="s">
        <v>10</v>
      </c>
      <c r="AC172" s="1389">
        <v>3</v>
      </c>
      <c r="AD172" s="1363" t="s">
        <v>13</v>
      </c>
      <c r="AE172" s="1363" t="s">
        <v>20</v>
      </c>
      <c r="AF172" s="1363">
        <f>IF(W172&gt;=1,(AA172*12+AC172)-(W172*12+Y172)+1,"")</f>
        <v>12</v>
      </c>
      <c r="AG172" s="1359" t="s">
        <v>33</v>
      </c>
      <c r="AH172" s="1365" t="str">
        <f t="shared" ref="AH172" si="429">IFERROR(ROUNDDOWN(ROUND(L170*U172,0),0)*AF172,"")</f>
        <v/>
      </c>
      <c r="AI172" s="1367" t="str">
        <f t="shared" ref="AI172" si="430">IFERROR(ROUNDDOWN(ROUND((L170*(U172-AW170)),0),0)*AF172,"")</f>
        <v/>
      </c>
      <c r="AJ172" s="1369">
        <f>IFERROR(IF(OR(M170="",M171="",M173=""),0,ROUNDDOWN(ROUNDDOWN(ROUND(L170*VLOOKUP(K170,【参考】数式用!$A$5:$AB$37,MATCH("新加算Ⅳ",【参考】数式用!$B$4:$AB$4,0)+1,0),0),0)*AF172*0.5,0)),"")</f>
        <v>0</v>
      </c>
      <c r="AK172" s="1339" t="str">
        <f t="shared" ref="AK172" si="431">IF(T172&lt;&gt;"","新規に適用","")</f>
        <v/>
      </c>
      <c r="AL172" s="1343">
        <f>IFERROR(IF(OR(M173="ベア加算",M173=""),0, IF(OR(T170="新加算Ⅰ",T170="新加算Ⅱ",T170="新加算Ⅲ",T170="新加算Ⅳ"),0,ROUNDDOWN(ROUND(L170*VLOOKUP(K170,【参考】数式用!$A$5:$I$37,MATCH("ベア加算",【参考】数式用!$B$4:$I$4,0)+1,0),0),0)*AF172)),"")</f>
        <v>0</v>
      </c>
      <c r="AM172" s="1313" t="str">
        <f>IF(AND(T172&lt;&gt;"",AM170=""),"新規に適用",IF(AND(T172&lt;&gt;"",AM170&lt;&gt;""),"継続で適用",""))</f>
        <v/>
      </c>
      <c r="AN172" s="1313" t="str">
        <f>IF(AND(T172&lt;&gt;"",AN170=""),"新規に適用",IF(AND(T172&lt;&gt;"",AN170&lt;&gt;""),"継続で適用",""))</f>
        <v/>
      </c>
      <c r="AO172" s="1361"/>
      <c r="AP172" s="1313" t="str">
        <f>IF(AND(T172&lt;&gt;"",AP170=""),"新規に適用",IF(AND(T172&lt;&gt;"",AP170&lt;&gt;""),"継続で適用",""))</f>
        <v/>
      </c>
      <c r="AQ172" s="1317" t="str">
        <f t="shared" si="420"/>
        <v/>
      </c>
      <c r="AR172" s="1313" t="str">
        <f>IF(AND(T172&lt;&gt;"",AR170=""),"新規に適用",IF(AND(T172&lt;&gt;"",AR170&lt;&gt;""),"継続で適用",""))</f>
        <v/>
      </c>
      <c r="AS172" s="1302"/>
      <c r="AT172" s="554"/>
      <c r="AU172" s="1303" t="str">
        <f>IF(K170&lt;&gt;"","V列に色付け","")</f>
        <v/>
      </c>
      <c r="AV172" s="1304"/>
      <c r="AW172" s="1305"/>
      <c r="AX172"/>
      <c r="AY172"/>
      <c r="AZ172"/>
      <c r="BA172"/>
      <c r="BB172"/>
      <c r="BC172"/>
      <c r="BD172"/>
      <c r="BE172"/>
      <c r="BF172"/>
      <c r="BG172"/>
      <c r="BH172"/>
      <c r="BI172"/>
      <c r="BJ172"/>
      <c r="BK172" s="452" t="str">
        <f>G170</f>
        <v/>
      </c>
    </row>
    <row r="173" spans="1:63" ht="30" customHeight="1" thickBot="1">
      <c r="A173" s="1268"/>
      <c r="B173" s="1411"/>
      <c r="C173" s="1412"/>
      <c r="D173" s="1412"/>
      <c r="E173" s="1412"/>
      <c r="F173" s="1413"/>
      <c r="G173" s="1253"/>
      <c r="H173" s="1253"/>
      <c r="I173" s="1253"/>
      <c r="J173" s="1416"/>
      <c r="K173" s="1253"/>
      <c r="L173" s="1277"/>
      <c r="M173" s="553" t="str">
        <f>IF('別紙様式2-2（４・５月分）'!P133="","",'別紙様式2-2（４・５月分）'!P133)</f>
        <v/>
      </c>
      <c r="N173" s="1394"/>
      <c r="O173" s="1374"/>
      <c r="P173" s="1376"/>
      <c r="Q173" s="1378"/>
      <c r="R173" s="1380"/>
      <c r="S173" s="1382"/>
      <c r="T173" s="1384"/>
      <c r="U173" s="1386"/>
      <c r="V173" s="1388"/>
      <c r="W173" s="1390"/>
      <c r="X173" s="1364"/>
      <c r="Y173" s="1390"/>
      <c r="Z173" s="1364"/>
      <c r="AA173" s="1390"/>
      <c r="AB173" s="1364"/>
      <c r="AC173" s="1390"/>
      <c r="AD173" s="1364"/>
      <c r="AE173" s="1364"/>
      <c r="AF173" s="1364"/>
      <c r="AG173" s="1360"/>
      <c r="AH173" s="1366"/>
      <c r="AI173" s="1368"/>
      <c r="AJ173" s="1370"/>
      <c r="AK173" s="1340"/>
      <c r="AL173" s="1344"/>
      <c r="AM173" s="1314"/>
      <c r="AN173" s="1314"/>
      <c r="AO173" s="1362"/>
      <c r="AP173" s="1314"/>
      <c r="AQ173" s="1318"/>
      <c r="AR173" s="1314"/>
      <c r="AS173" s="490"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4"/>
      <c r="AU173" s="1303"/>
      <c r="AV173" s="555" t="str">
        <f>IF('別紙様式2-2（４・５月分）'!N133="","",'別紙様式2-2（４・５月分）'!N133)</f>
        <v/>
      </c>
      <c r="AW173" s="1305"/>
      <c r="AX173"/>
      <c r="AY173"/>
      <c r="AZ173"/>
      <c r="BA173"/>
      <c r="BB173"/>
      <c r="BC173"/>
      <c r="BD173"/>
      <c r="BE173"/>
      <c r="BF173"/>
      <c r="BG173"/>
      <c r="BH173"/>
      <c r="BI173"/>
      <c r="BJ173"/>
      <c r="BK173" s="452" t="str">
        <f>G170</f>
        <v/>
      </c>
    </row>
    <row r="174" spans="1:63" ht="30" customHeight="1">
      <c r="A174" s="1266">
        <v>41</v>
      </c>
      <c r="B174" s="1232" t="str">
        <f>IF(基本情報入力シート!C94="","",基本情報入力シート!C94)</f>
        <v/>
      </c>
      <c r="C174" s="1233"/>
      <c r="D174" s="1233"/>
      <c r="E174" s="1233"/>
      <c r="F174" s="1234"/>
      <c r="G174" s="1251" t="str">
        <f>IF(基本情報入力シート!M94="","",基本情報入力シート!M94)</f>
        <v/>
      </c>
      <c r="H174" s="1251" t="str">
        <f>IF(基本情報入力シート!R94="","",基本情報入力シート!R94)</f>
        <v/>
      </c>
      <c r="I174" s="1251" t="str">
        <f>IF(基本情報入力シート!W94="","",基本情報入力シート!W94)</f>
        <v/>
      </c>
      <c r="J174" s="1414" t="str">
        <f>IF(基本情報入力シート!X94="","",基本情報入力シート!X94)</f>
        <v/>
      </c>
      <c r="K174" s="1251" t="str">
        <f>IF(基本情報入力シート!Y94="","",基本情報入力シート!Y94)</f>
        <v/>
      </c>
      <c r="L174" s="1275" t="str">
        <f>IF(基本情報入力シート!AB94="","",基本情報入力シート!AB94)</f>
        <v/>
      </c>
      <c r="M174" s="550" t="str">
        <f>IF('別紙様式2-2（４・５月分）'!P134="","",'別紙様式2-2（４・５月分）'!P134)</f>
        <v/>
      </c>
      <c r="N174" s="1391" t="str">
        <f>IF(SUM('別紙様式2-2（４・５月分）'!Q134:Q136)=0,"",SUM('別紙様式2-2（４・５月分）'!Q134:Q136))</f>
        <v/>
      </c>
      <c r="O174" s="1395" t="str">
        <f>IFERROR(VLOOKUP('別紙様式2-2（４・５月分）'!AQ134,【参考】数式用!$AR$5:$AS$22,2,FALSE),"")</f>
        <v/>
      </c>
      <c r="P174" s="1396"/>
      <c r="Q174" s="1397"/>
      <c r="R174" s="1401" t="str">
        <f>IFERROR(VLOOKUP(K174,【参考】数式用!$A$5:$AB$37,MATCH(O174,【参考】数式用!$B$4:$AB$4,0)+1,0),"")</f>
        <v/>
      </c>
      <c r="S174" s="1403" t="s">
        <v>2021</v>
      </c>
      <c r="T174" s="1405"/>
      <c r="U174" s="1407" t="str">
        <f>IFERROR(VLOOKUP(K174,【参考】数式用!$A$5:$AB$37,MATCH(T174,【参考】数式用!$B$4:$AB$4,0)+1,0),"")</f>
        <v/>
      </c>
      <c r="V174" s="1409" t="s">
        <v>15</v>
      </c>
      <c r="W174" s="1347">
        <v>6</v>
      </c>
      <c r="X174" s="1349" t="s">
        <v>10</v>
      </c>
      <c r="Y174" s="1347">
        <v>6</v>
      </c>
      <c r="Z174" s="1349" t="s">
        <v>38</v>
      </c>
      <c r="AA174" s="1347">
        <v>7</v>
      </c>
      <c r="AB174" s="1349" t="s">
        <v>10</v>
      </c>
      <c r="AC174" s="1347">
        <v>3</v>
      </c>
      <c r="AD174" s="1349" t="s">
        <v>13</v>
      </c>
      <c r="AE174" s="1349" t="s">
        <v>20</v>
      </c>
      <c r="AF174" s="1349">
        <f>IF(W174&gt;=1,(AA174*12+AC174)-(W174*12+Y174)+1,"")</f>
        <v>10</v>
      </c>
      <c r="AG174" s="1351" t="s">
        <v>33</v>
      </c>
      <c r="AH174" s="1353" t="str">
        <f t="shared" ref="AH174" si="433">IFERROR(ROUNDDOWN(ROUND(L174*U174,0),0)*AF174,"")</f>
        <v/>
      </c>
      <c r="AI174" s="1355" t="str">
        <f t="shared" ref="AI174" si="434">IFERROR(ROUNDDOWN(ROUND((L174*(U174-AW174)),0),0)*AF174,"")</f>
        <v/>
      </c>
      <c r="AJ174" s="1357">
        <f>IFERROR(IF(OR(M174="",M175="",M177=""),0,ROUNDDOWN(ROUNDDOWN(ROUND(L174*VLOOKUP(K174,【参考】数式用!$A$5:$AB$37,MATCH("新加算Ⅳ",【参考】数式用!$B$4:$AB$4,0)+1,0),0),0)*AF174*0.5,0)),"")</f>
        <v>0</v>
      </c>
      <c r="AK174" s="1341"/>
      <c r="AL174" s="1345">
        <f>IFERROR(IF(OR(M177="ベア加算",M177=""),0, IF(OR(T174="新加算Ⅰ",T174="新加算Ⅱ",T174="新加算Ⅲ",T174="新加算Ⅳ"),ROUNDDOWN(ROUND(L174*VLOOKUP(K174,【参考】数式用!$A$5:$I$37,MATCH("ベア加算",【参考】数式用!$B$4:$I$4,0)+1,0),0),0)*AF174,0)),"")</f>
        <v>0</v>
      </c>
      <c r="AM174" s="1331"/>
      <c r="AN174" s="1337"/>
      <c r="AO174" s="1333"/>
      <c r="AP174" s="1333"/>
      <c r="AQ174" s="1335"/>
      <c r="AR174" s="1315"/>
      <c r="AS174" s="465" t="str">
        <f t="shared" ref="AS174" si="435">IF(AU174="","",IF(U174&lt;N174,"！加算の要件上は問題ありませんが、令和６年４・５月と比較して令和６年６月に加算率が下がる計画になっています。",""))</f>
        <v/>
      </c>
      <c r="AT174" s="554"/>
      <c r="AU174" s="1303" t="str">
        <f>IF(K174&lt;&gt;"","V列に色付け","")</f>
        <v/>
      </c>
      <c r="AV174" s="555" t="str">
        <f>IF('別紙様式2-2（４・５月分）'!N134="","",'別紙様式2-2（４・５月分）'!N134)</f>
        <v/>
      </c>
      <c r="AW174" s="1305" t="str">
        <f>IF(SUM('別紙様式2-2（４・５月分）'!O134:O136)=0,"",SUM('別紙様式2-2（４・５月分）'!O134:O136))</f>
        <v/>
      </c>
      <c r="AX174" s="1306" t="str">
        <f>IFERROR(VLOOKUP(K174,【参考】数式用!$AH$2:$AI$34,2,FALSE),"")</f>
        <v/>
      </c>
      <c r="AY174" s="1222" t="s">
        <v>1959</v>
      </c>
      <c r="AZ174" s="1222" t="s">
        <v>1960</v>
      </c>
      <c r="BA174" s="1222" t="s">
        <v>1961</v>
      </c>
      <c r="BB174" s="1222" t="s">
        <v>1962</v>
      </c>
      <c r="BC174" s="1222" t="str">
        <f>IF(AND(O174&lt;&gt;"新加算Ⅰ",O174&lt;&gt;"新加算Ⅱ",O174&lt;&gt;"新加算Ⅲ",O174&lt;&gt;"新加算Ⅳ"),O174,IF(P176&lt;&gt;"",P176,""))</f>
        <v/>
      </c>
      <c r="BD174" s="1222"/>
      <c r="BE174" s="1222" t="str">
        <f t="shared" ref="BE174" si="436">IF(AL174&lt;&gt;0,IF(AM174="○","入力済","未入力"),"")</f>
        <v/>
      </c>
      <c r="BF174" s="1222"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2" t="str">
        <f>IF(OR(T174="新加算Ⅴ（７）",T174="新加算Ⅴ（９）",T174="新加算Ⅴ（10）",T174="新加算Ⅴ（12）",T174="新加算Ⅴ（13）",T174="新加算Ⅴ（14）"),IF(OR(AO174="○",AO174="令和６年度中に満たす"),"入力済","未入力"),"")</f>
        <v/>
      </c>
      <c r="BH174" s="1323" t="str">
        <f t="shared" ref="BH174" si="437">IF(OR(T174="新加算Ⅰ",T174="新加算Ⅱ",T174="新加算Ⅲ",T174="新加算Ⅴ（１）",T174="新加算Ⅴ（３）",T174="新加算Ⅴ（８）"),IF(OR(AP174="○",AP174="令和６年度中に満たす"),"入力済","未入力"),"")</f>
        <v/>
      </c>
      <c r="BI174" s="1325" t="str">
        <f t="shared" ref="BI174" si="438">IF(OR(T174="新加算Ⅰ",T174="新加算Ⅱ",T174="新加算Ⅴ（１）",T174="新加算Ⅴ（２）",T174="新加算Ⅴ（３）",T174="新加算Ⅴ（４）",T174="新加算Ⅴ（５）",T174="新加算Ⅴ（６）",T174="新加算Ⅴ（７）",T174="新加算Ⅴ（９）",T174="新加算Ⅴ（10）",T174="新加算Ⅴ（12）"),1,"")</f>
        <v/>
      </c>
      <c r="BJ174" s="1303" t="str">
        <f>IF(OR(T174="新加算Ⅰ",T174="新加算Ⅴ（１）",T174="新加算Ⅴ（２）",T174="新加算Ⅴ（５）",T174="新加算Ⅴ（７）",T174="新加算Ⅴ（10）"),IF(AR174="","未入力","入力済"),"")</f>
        <v/>
      </c>
      <c r="BK174" s="452" t="str">
        <f>G174</f>
        <v/>
      </c>
    </row>
    <row r="175" spans="1:63" ht="15" customHeight="1">
      <c r="A175" s="1267"/>
      <c r="B175" s="1235"/>
      <c r="C175" s="1236"/>
      <c r="D175" s="1236"/>
      <c r="E175" s="1236"/>
      <c r="F175" s="1237"/>
      <c r="G175" s="1252"/>
      <c r="H175" s="1252"/>
      <c r="I175" s="1252"/>
      <c r="J175" s="1415"/>
      <c r="K175" s="1252"/>
      <c r="L175" s="1276"/>
      <c r="M175" s="1371" t="str">
        <f>IF('別紙様式2-2（４・５月分）'!P135="","",'別紙様式2-2（４・５月分）'!P135)</f>
        <v/>
      </c>
      <c r="N175" s="1392"/>
      <c r="O175" s="1398"/>
      <c r="P175" s="1399"/>
      <c r="Q175" s="1400"/>
      <c r="R175" s="1402"/>
      <c r="S175" s="1404"/>
      <c r="T175" s="1406"/>
      <c r="U175" s="1408"/>
      <c r="V175" s="1410"/>
      <c r="W175" s="1348"/>
      <c r="X175" s="1350"/>
      <c r="Y175" s="1348"/>
      <c r="Z175" s="1350"/>
      <c r="AA175" s="1348"/>
      <c r="AB175" s="1350"/>
      <c r="AC175" s="1348"/>
      <c r="AD175" s="1350"/>
      <c r="AE175" s="1350"/>
      <c r="AF175" s="1350"/>
      <c r="AG175" s="1352"/>
      <c r="AH175" s="1354"/>
      <c r="AI175" s="1356"/>
      <c r="AJ175" s="1358"/>
      <c r="AK175" s="1342"/>
      <c r="AL175" s="1346"/>
      <c r="AM175" s="1332"/>
      <c r="AN175" s="1338"/>
      <c r="AO175" s="1334"/>
      <c r="AP175" s="1334"/>
      <c r="AQ175" s="1336"/>
      <c r="AR175" s="1316"/>
      <c r="AS175" s="1302"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4"/>
      <c r="AU175" s="1303"/>
      <c r="AV175" s="1304" t="str">
        <f>IF('別紙様式2-2（４・５月分）'!N135="","",'別紙様式2-2（４・５月分）'!N135)</f>
        <v/>
      </c>
      <c r="AW175" s="1305"/>
      <c r="AX175" s="1306"/>
      <c r="AY175" s="1222"/>
      <c r="AZ175" s="1222"/>
      <c r="BA175" s="1222"/>
      <c r="BB175" s="1222"/>
      <c r="BC175" s="1222"/>
      <c r="BD175" s="1222"/>
      <c r="BE175" s="1222"/>
      <c r="BF175" s="1222"/>
      <c r="BG175" s="1222"/>
      <c r="BH175" s="1324"/>
      <c r="BI175" s="1326"/>
      <c r="BJ175" s="1303"/>
      <c r="BK175" s="452" t="str">
        <f>G174</f>
        <v/>
      </c>
    </row>
    <row r="176" spans="1:63" ht="15" customHeight="1">
      <c r="A176" s="1295"/>
      <c r="B176" s="1235"/>
      <c r="C176" s="1236"/>
      <c r="D176" s="1236"/>
      <c r="E176" s="1236"/>
      <c r="F176" s="1237"/>
      <c r="G176" s="1252"/>
      <c r="H176" s="1252"/>
      <c r="I176" s="1252"/>
      <c r="J176" s="1415"/>
      <c r="K176" s="1252"/>
      <c r="L176" s="1276"/>
      <c r="M176" s="1372"/>
      <c r="N176" s="1393"/>
      <c r="O176" s="1373" t="s">
        <v>2025</v>
      </c>
      <c r="P176" s="1375" t="str">
        <f>IFERROR(VLOOKUP('別紙様式2-2（４・５月分）'!AQ134,【参考】数式用!$AR$5:$AT$22,3,FALSE),"")</f>
        <v/>
      </c>
      <c r="Q176" s="1377" t="s">
        <v>2036</v>
      </c>
      <c r="R176" s="1379" t="str">
        <f>IFERROR(VLOOKUP(K174,【参考】数式用!$A$5:$AB$37,MATCH(P176,【参考】数式用!$B$4:$AB$4,0)+1,0),"")</f>
        <v/>
      </c>
      <c r="S176" s="1381" t="s">
        <v>161</v>
      </c>
      <c r="T176" s="1383"/>
      <c r="U176" s="1385" t="str">
        <f>IFERROR(VLOOKUP(K174,【参考】数式用!$A$5:$AB$37,MATCH(T176,【参考】数式用!$B$4:$AB$4,0)+1,0),"")</f>
        <v/>
      </c>
      <c r="V176" s="1387" t="s">
        <v>15</v>
      </c>
      <c r="W176" s="1389">
        <v>7</v>
      </c>
      <c r="X176" s="1363" t="s">
        <v>10</v>
      </c>
      <c r="Y176" s="1389">
        <v>4</v>
      </c>
      <c r="Z176" s="1363" t="s">
        <v>38</v>
      </c>
      <c r="AA176" s="1389">
        <v>8</v>
      </c>
      <c r="AB176" s="1363" t="s">
        <v>10</v>
      </c>
      <c r="AC176" s="1389">
        <v>3</v>
      </c>
      <c r="AD176" s="1363" t="s">
        <v>13</v>
      </c>
      <c r="AE176" s="1363" t="s">
        <v>20</v>
      </c>
      <c r="AF176" s="1363">
        <f>IF(W176&gt;=1,(AA176*12+AC176)-(W176*12+Y176)+1,"")</f>
        <v>12</v>
      </c>
      <c r="AG176" s="1359" t="s">
        <v>33</v>
      </c>
      <c r="AH176" s="1365" t="str">
        <f t="shared" ref="AH176" si="440">IFERROR(ROUNDDOWN(ROUND(L174*U176,0),0)*AF176,"")</f>
        <v/>
      </c>
      <c r="AI176" s="1367" t="str">
        <f t="shared" ref="AI176" si="441">IFERROR(ROUNDDOWN(ROUND((L174*(U176-AW174)),0),0)*AF176,"")</f>
        <v/>
      </c>
      <c r="AJ176" s="1369">
        <f>IFERROR(IF(OR(M174="",M175="",M177=""),0,ROUNDDOWN(ROUNDDOWN(ROUND(L174*VLOOKUP(K174,【参考】数式用!$A$5:$AB$37,MATCH("新加算Ⅳ",【参考】数式用!$B$4:$AB$4,0)+1,0),0),0)*AF176*0.5,0)),"")</f>
        <v>0</v>
      </c>
      <c r="AK176" s="1339" t="str">
        <f t="shared" ref="AK176" si="442">IF(T176&lt;&gt;"","新規に適用","")</f>
        <v/>
      </c>
      <c r="AL176" s="1343">
        <f>IFERROR(IF(OR(M177="ベア加算",M177=""),0, IF(OR(T174="新加算Ⅰ",T174="新加算Ⅱ",T174="新加算Ⅲ",T174="新加算Ⅳ"),0,ROUNDDOWN(ROUND(L174*VLOOKUP(K174,【参考】数式用!$A$5:$I$37,MATCH("ベア加算",【参考】数式用!$B$4:$I$4,0)+1,0),0),0)*AF176)),"")</f>
        <v>0</v>
      </c>
      <c r="AM176" s="1313" t="str">
        <f>IF(AND(T176&lt;&gt;"",AM174=""),"新規に適用",IF(AND(T176&lt;&gt;"",AM174&lt;&gt;""),"継続で適用",""))</f>
        <v/>
      </c>
      <c r="AN176" s="1313" t="str">
        <f>IF(AND(T176&lt;&gt;"",AN174=""),"新規に適用",IF(AND(T176&lt;&gt;"",AN174&lt;&gt;""),"継続で適用",""))</f>
        <v/>
      </c>
      <c r="AO176" s="1361"/>
      <c r="AP176" s="1313" t="str">
        <f>IF(AND(T176&lt;&gt;"",AP174=""),"新規に適用",IF(AND(T176&lt;&gt;"",AP174&lt;&gt;""),"継続で適用",""))</f>
        <v/>
      </c>
      <c r="AQ176" s="1317" t="str">
        <f t="shared" si="420"/>
        <v/>
      </c>
      <c r="AR176" s="1313" t="str">
        <f>IF(AND(T176&lt;&gt;"",AR174=""),"新規に適用",IF(AND(T176&lt;&gt;"",AR174&lt;&gt;""),"継続で適用",""))</f>
        <v/>
      </c>
      <c r="AS176" s="1302"/>
      <c r="AT176" s="554"/>
      <c r="AU176" s="1303" t="str">
        <f>IF(K174&lt;&gt;"","V列に色付け","")</f>
        <v/>
      </c>
      <c r="AV176" s="1304"/>
      <c r="AW176" s="1305"/>
      <c r="AX176"/>
      <c r="AY176"/>
      <c r="AZ176"/>
      <c r="BA176"/>
      <c r="BB176"/>
      <c r="BC176"/>
      <c r="BD176"/>
      <c r="BE176"/>
      <c r="BF176"/>
      <c r="BG176"/>
      <c r="BH176"/>
      <c r="BI176"/>
      <c r="BJ176"/>
      <c r="BK176" s="452" t="str">
        <f>G174</f>
        <v/>
      </c>
    </row>
    <row r="177" spans="1:63" ht="30" customHeight="1" thickBot="1">
      <c r="A177" s="1268"/>
      <c r="B177" s="1411"/>
      <c r="C177" s="1412"/>
      <c r="D177" s="1412"/>
      <c r="E177" s="1412"/>
      <c r="F177" s="1413"/>
      <c r="G177" s="1253"/>
      <c r="H177" s="1253"/>
      <c r="I177" s="1253"/>
      <c r="J177" s="1416"/>
      <c r="K177" s="1253"/>
      <c r="L177" s="1277"/>
      <c r="M177" s="553" t="str">
        <f>IF('別紙様式2-2（４・５月分）'!P136="","",'別紙様式2-2（４・５月分）'!P136)</f>
        <v/>
      </c>
      <c r="N177" s="1394"/>
      <c r="O177" s="1374"/>
      <c r="P177" s="1376"/>
      <c r="Q177" s="1378"/>
      <c r="R177" s="1380"/>
      <c r="S177" s="1382"/>
      <c r="T177" s="1384"/>
      <c r="U177" s="1386"/>
      <c r="V177" s="1388"/>
      <c r="W177" s="1390"/>
      <c r="X177" s="1364"/>
      <c r="Y177" s="1390"/>
      <c r="Z177" s="1364"/>
      <c r="AA177" s="1390"/>
      <c r="AB177" s="1364"/>
      <c r="AC177" s="1390"/>
      <c r="AD177" s="1364"/>
      <c r="AE177" s="1364"/>
      <c r="AF177" s="1364"/>
      <c r="AG177" s="1360"/>
      <c r="AH177" s="1366"/>
      <c r="AI177" s="1368"/>
      <c r="AJ177" s="1370"/>
      <c r="AK177" s="1340"/>
      <c r="AL177" s="1344"/>
      <c r="AM177" s="1314"/>
      <c r="AN177" s="1314"/>
      <c r="AO177" s="1362"/>
      <c r="AP177" s="1314"/>
      <c r="AQ177" s="1318"/>
      <c r="AR177" s="1314"/>
      <c r="AS177" s="490"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4"/>
      <c r="AU177" s="1303"/>
      <c r="AV177" s="555" t="str">
        <f>IF('別紙様式2-2（４・５月分）'!N136="","",'別紙様式2-2（４・５月分）'!N136)</f>
        <v/>
      </c>
      <c r="AW177" s="1305"/>
      <c r="AX177"/>
      <c r="AY177"/>
      <c r="AZ177"/>
      <c r="BA177"/>
      <c r="BB177"/>
      <c r="BC177"/>
      <c r="BD177"/>
      <c r="BE177"/>
      <c r="BF177"/>
      <c r="BG177"/>
      <c r="BH177"/>
      <c r="BI177"/>
      <c r="BJ177"/>
      <c r="BK177" s="452" t="str">
        <f>G174</f>
        <v/>
      </c>
    </row>
    <row r="178" spans="1:63" ht="30" customHeight="1">
      <c r="A178" s="1293">
        <v>42</v>
      </c>
      <c r="B178" s="1235" t="str">
        <f>IF(基本情報入力シート!C95="","",基本情報入力シート!C95)</f>
        <v/>
      </c>
      <c r="C178" s="1236"/>
      <c r="D178" s="1236"/>
      <c r="E178" s="1236"/>
      <c r="F178" s="1237"/>
      <c r="G178" s="1252" t="str">
        <f>IF(基本情報入力シート!M95="","",基本情報入力シート!M95)</f>
        <v/>
      </c>
      <c r="H178" s="1252" t="str">
        <f>IF(基本情報入力シート!R95="","",基本情報入力シート!R95)</f>
        <v/>
      </c>
      <c r="I178" s="1252" t="str">
        <f>IF(基本情報入力シート!W95="","",基本情報入力シート!W95)</f>
        <v/>
      </c>
      <c r="J178" s="1415" t="str">
        <f>IF(基本情報入力シート!X95="","",基本情報入力シート!X95)</f>
        <v/>
      </c>
      <c r="K178" s="1252" t="str">
        <f>IF(基本情報入力シート!Y95="","",基本情報入力シート!Y95)</f>
        <v/>
      </c>
      <c r="L178" s="1276" t="str">
        <f>IF(基本情報入力シート!AB95="","",基本情報入力シート!AB95)</f>
        <v/>
      </c>
      <c r="M178" s="550" t="str">
        <f>IF('別紙様式2-2（４・５月分）'!P137="","",'別紙様式2-2（４・５月分）'!P137)</f>
        <v/>
      </c>
      <c r="N178" s="1391" t="str">
        <f>IF(SUM('別紙様式2-2（４・５月分）'!Q137:Q139)=0,"",SUM('別紙様式2-2（４・５月分）'!Q137:Q139))</f>
        <v/>
      </c>
      <c r="O178" s="1395" t="str">
        <f>IFERROR(VLOOKUP('別紙様式2-2（４・５月分）'!AQ137,【参考】数式用!$AR$5:$AS$22,2,FALSE),"")</f>
        <v/>
      </c>
      <c r="P178" s="1396"/>
      <c r="Q178" s="1397"/>
      <c r="R178" s="1401" t="str">
        <f>IFERROR(VLOOKUP(K178,【参考】数式用!$A$5:$AB$37,MATCH(O178,【参考】数式用!$B$4:$AB$4,0)+1,0),"")</f>
        <v/>
      </c>
      <c r="S178" s="1403" t="s">
        <v>2021</v>
      </c>
      <c r="T178" s="1405"/>
      <c r="U178" s="1407" t="str">
        <f>IFERROR(VLOOKUP(K178,【参考】数式用!$A$5:$AB$37,MATCH(T178,【参考】数式用!$B$4:$AB$4,0)+1,0),"")</f>
        <v/>
      </c>
      <c r="V178" s="1409" t="s">
        <v>15</v>
      </c>
      <c r="W178" s="1347">
        <v>6</v>
      </c>
      <c r="X178" s="1349" t="s">
        <v>10</v>
      </c>
      <c r="Y178" s="1347">
        <v>6</v>
      </c>
      <c r="Z178" s="1349" t="s">
        <v>38</v>
      </c>
      <c r="AA178" s="1347">
        <v>7</v>
      </c>
      <c r="AB178" s="1349" t="s">
        <v>10</v>
      </c>
      <c r="AC178" s="1347">
        <v>3</v>
      </c>
      <c r="AD178" s="1349" t="s">
        <v>13</v>
      </c>
      <c r="AE178" s="1349" t="s">
        <v>20</v>
      </c>
      <c r="AF178" s="1349">
        <f>IF(W178&gt;=1,(AA178*12+AC178)-(W178*12+Y178)+1,"")</f>
        <v>10</v>
      </c>
      <c r="AG178" s="1351" t="s">
        <v>33</v>
      </c>
      <c r="AH178" s="1353" t="str">
        <f t="shared" ref="AH178" si="444">IFERROR(ROUNDDOWN(ROUND(L178*U178,0),0)*AF178,"")</f>
        <v/>
      </c>
      <c r="AI178" s="1355" t="str">
        <f t="shared" ref="AI178" si="445">IFERROR(ROUNDDOWN(ROUND((L178*(U178-AW178)),0),0)*AF178,"")</f>
        <v/>
      </c>
      <c r="AJ178" s="1357">
        <f>IFERROR(IF(OR(M178="",M179="",M181=""),0,ROUNDDOWN(ROUNDDOWN(ROUND(L178*VLOOKUP(K178,【参考】数式用!$A$5:$AB$37,MATCH("新加算Ⅳ",【参考】数式用!$B$4:$AB$4,0)+1,0),0),0)*AF178*0.5,0)),"")</f>
        <v>0</v>
      </c>
      <c r="AK178" s="1341"/>
      <c r="AL178" s="1345">
        <f>IFERROR(IF(OR(M181="ベア加算",M181=""),0, IF(OR(T178="新加算Ⅰ",T178="新加算Ⅱ",T178="新加算Ⅲ",T178="新加算Ⅳ"),ROUNDDOWN(ROUND(L178*VLOOKUP(K178,【参考】数式用!$A$5:$I$37,MATCH("ベア加算",【参考】数式用!$B$4:$I$4,0)+1,0),0),0)*AF178,0)),"")</f>
        <v>0</v>
      </c>
      <c r="AM178" s="1331"/>
      <c r="AN178" s="1337"/>
      <c r="AO178" s="1333"/>
      <c r="AP178" s="1333"/>
      <c r="AQ178" s="1335"/>
      <c r="AR178" s="1315"/>
      <c r="AS178" s="465" t="str">
        <f t="shared" ref="AS178" si="446">IF(AU178="","",IF(U178&lt;N178,"！加算の要件上は問題ありませんが、令和６年４・５月と比較して令和６年６月に加算率が下がる計画になっています。",""))</f>
        <v/>
      </c>
      <c r="AT178" s="554"/>
      <c r="AU178" s="1303" t="str">
        <f>IF(K178&lt;&gt;"","V列に色付け","")</f>
        <v/>
      </c>
      <c r="AV178" s="555" t="str">
        <f>IF('別紙様式2-2（４・５月分）'!N137="","",'別紙様式2-2（４・５月分）'!N137)</f>
        <v/>
      </c>
      <c r="AW178" s="1305" t="str">
        <f>IF(SUM('別紙様式2-2（４・５月分）'!O137:O139)=0,"",SUM('別紙様式2-2（４・５月分）'!O137:O139))</f>
        <v/>
      </c>
      <c r="AX178" s="1306" t="str">
        <f>IFERROR(VLOOKUP(K178,【参考】数式用!$AH$2:$AI$34,2,FALSE),"")</f>
        <v/>
      </c>
      <c r="AY178" s="1222" t="s">
        <v>1959</v>
      </c>
      <c r="AZ178" s="1222" t="s">
        <v>1960</v>
      </c>
      <c r="BA178" s="1222" t="s">
        <v>1961</v>
      </c>
      <c r="BB178" s="1222" t="s">
        <v>1962</v>
      </c>
      <c r="BC178" s="1222" t="str">
        <f>IF(AND(O178&lt;&gt;"新加算Ⅰ",O178&lt;&gt;"新加算Ⅱ",O178&lt;&gt;"新加算Ⅲ",O178&lt;&gt;"新加算Ⅳ"),O178,IF(P180&lt;&gt;"",P180,""))</f>
        <v/>
      </c>
      <c r="BD178" s="1222"/>
      <c r="BE178" s="1222" t="str">
        <f t="shared" ref="BE178" si="447">IF(AL178&lt;&gt;0,IF(AM178="○","入力済","未入力"),"")</f>
        <v/>
      </c>
      <c r="BF178" s="1222"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2" t="str">
        <f>IF(OR(T178="新加算Ⅴ（７）",T178="新加算Ⅴ（９）",T178="新加算Ⅴ（10）",T178="新加算Ⅴ（12）",T178="新加算Ⅴ（13）",T178="新加算Ⅴ（14）"),IF(OR(AO178="○",AO178="令和６年度中に満たす"),"入力済","未入力"),"")</f>
        <v/>
      </c>
      <c r="BH178" s="1323" t="str">
        <f t="shared" ref="BH178" si="448">IF(OR(T178="新加算Ⅰ",T178="新加算Ⅱ",T178="新加算Ⅲ",T178="新加算Ⅴ（１）",T178="新加算Ⅴ（３）",T178="新加算Ⅴ（８）"),IF(OR(AP178="○",AP178="令和６年度中に満たす"),"入力済","未入力"),"")</f>
        <v/>
      </c>
      <c r="BI178" s="1325" t="str">
        <f t="shared" ref="BI178" si="449">IF(OR(T178="新加算Ⅰ",T178="新加算Ⅱ",T178="新加算Ⅴ（１）",T178="新加算Ⅴ（２）",T178="新加算Ⅴ（３）",T178="新加算Ⅴ（４）",T178="新加算Ⅴ（５）",T178="新加算Ⅴ（６）",T178="新加算Ⅴ（７）",T178="新加算Ⅴ（９）",T178="新加算Ⅴ（10）",T178="新加算Ⅴ（12）"),1,"")</f>
        <v/>
      </c>
      <c r="BJ178" s="1303" t="str">
        <f>IF(OR(T178="新加算Ⅰ",T178="新加算Ⅴ（１）",T178="新加算Ⅴ（２）",T178="新加算Ⅴ（５）",T178="新加算Ⅴ（７）",T178="新加算Ⅴ（10）"),IF(AR178="","未入力","入力済"),"")</f>
        <v/>
      </c>
      <c r="BK178" s="452" t="str">
        <f>G178</f>
        <v/>
      </c>
    </row>
    <row r="179" spans="1:63" ht="15" customHeight="1">
      <c r="A179" s="1267"/>
      <c r="B179" s="1235"/>
      <c r="C179" s="1236"/>
      <c r="D179" s="1236"/>
      <c r="E179" s="1236"/>
      <c r="F179" s="1237"/>
      <c r="G179" s="1252"/>
      <c r="H179" s="1252"/>
      <c r="I179" s="1252"/>
      <c r="J179" s="1415"/>
      <c r="K179" s="1252"/>
      <c r="L179" s="1276"/>
      <c r="M179" s="1371" t="str">
        <f>IF('別紙様式2-2（４・５月分）'!P138="","",'別紙様式2-2（４・５月分）'!P138)</f>
        <v/>
      </c>
      <c r="N179" s="1392"/>
      <c r="O179" s="1398"/>
      <c r="P179" s="1399"/>
      <c r="Q179" s="1400"/>
      <c r="R179" s="1402"/>
      <c r="S179" s="1404"/>
      <c r="T179" s="1406"/>
      <c r="U179" s="1408"/>
      <c r="V179" s="1410"/>
      <c r="W179" s="1348"/>
      <c r="X179" s="1350"/>
      <c r="Y179" s="1348"/>
      <c r="Z179" s="1350"/>
      <c r="AA179" s="1348"/>
      <c r="AB179" s="1350"/>
      <c r="AC179" s="1348"/>
      <c r="AD179" s="1350"/>
      <c r="AE179" s="1350"/>
      <c r="AF179" s="1350"/>
      <c r="AG179" s="1352"/>
      <c r="AH179" s="1354"/>
      <c r="AI179" s="1356"/>
      <c r="AJ179" s="1358"/>
      <c r="AK179" s="1342"/>
      <c r="AL179" s="1346"/>
      <c r="AM179" s="1332"/>
      <c r="AN179" s="1338"/>
      <c r="AO179" s="1334"/>
      <c r="AP179" s="1334"/>
      <c r="AQ179" s="1336"/>
      <c r="AR179" s="1316"/>
      <c r="AS179" s="1302"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4"/>
      <c r="AU179" s="1303"/>
      <c r="AV179" s="1304" t="str">
        <f>IF('別紙様式2-2（４・５月分）'!N138="","",'別紙様式2-2（４・５月分）'!N138)</f>
        <v/>
      </c>
      <c r="AW179" s="1305"/>
      <c r="AX179" s="1306"/>
      <c r="AY179" s="1222"/>
      <c r="AZ179" s="1222"/>
      <c r="BA179" s="1222"/>
      <c r="BB179" s="1222"/>
      <c r="BC179" s="1222"/>
      <c r="BD179" s="1222"/>
      <c r="BE179" s="1222"/>
      <c r="BF179" s="1222"/>
      <c r="BG179" s="1222"/>
      <c r="BH179" s="1324"/>
      <c r="BI179" s="1326"/>
      <c r="BJ179" s="1303"/>
      <c r="BK179" s="452" t="str">
        <f>G178</f>
        <v/>
      </c>
    </row>
    <row r="180" spans="1:63" ht="15" customHeight="1">
      <c r="A180" s="1295"/>
      <c r="B180" s="1235"/>
      <c r="C180" s="1236"/>
      <c r="D180" s="1236"/>
      <c r="E180" s="1236"/>
      <c r="F180" s="1237"/>
      <c r="G180" s="1252"/>
      <c r="H180" s="1252"/>
      <c r="I180" s="1252"/>
      <c r="J180" s="1415"/>
      <c r="K180" s="1252"/>
      <c r="L180" s="1276"/>
      <c r="M180" s="1372"/>
      <c r="N180" s="1393"/>
      <c r="O180" s="1373" t="s">
        <v>2025</v>
      </c>
      <c r="P180" s="1375" t="str">
        <f>IFERROR(VLOOKUP('別紙様式2-2（４・５月分）'!AQ137,【参考】数式用!$AR$5:$AT$22,3,FALSE),"")</f>
        <v/>
      </c>
      <c r="Q180" s="1377" t="s">
        <v>2036</v>
      </c>
      <c r="R180" s="1379" t="str">
        <f>IFERROR(VLOOKUP(K178,【参考】数式用!$A$5:$AB$37,MATCH(P180,【参考】数式用!$B$4:$AB$4,0)+1,0),"")</f>
        <v/>
      </c>
      <c r="S180" s="1381" t="s">
        <v>161</v>
      </c>
      <c r="T180" s="1383"/>
      <c r="U180" s="1385" t="str">
        <f>IFERROR(VLOOKUP(K178,【参考】数式用!$A$5:$AB$37,MATCH(T180,【参考】数式用!$B$4:$AB$4,0)+1,0),"")</f>
        <v/>
      </c>
      <c r="V180" s="1387" t="s">
        <v>15</v>
      </c>
      <c r="W180" s="1389">
        <v>7</v>
      </c>
      <c r="X180" s="1363" t="s">
        <v>10</v>
      </c>
      <c r="Y180" s="1389">
        <v>4</v>
      </c>
      <c r="Z180" s="1363" t="s">
        <v>38</v>
      </c>
      <c r="AA180" s="1389">
        <v>8</v>
      </c>
      <c r="AB180" s="1363" t="s">
        <v>10</v>
      </c>
      <c r="AC180" s="1389">
        <v>3</v>
      </c>
      <c r="AD180" s="1363" t="s">
        <v>13</v>
      </c>
      <c r="AE180" s="1363" t="s">
        <v>20</v>
      </c>
      <c r="AF180" s="1363">
        <f>IF(W180&gt;=1,(AA180*12+AC180)-(W180*12+Y180)+1,"")</f>
        <v>12</v>
      </c>
      <c r="AG180" s="1359" t="s">
        <v>33</v>
      </c>
      <c r="AH180" s="1365" t="str">
        <f t="shared" ref="AH180" si="451">IFERROR(ROUNDDOWN(ROUND(L178*U180,0),0)*AF180,"")</f>
        <v/>
      </c>
      <c r="AI180" s="1367" t="str">
        <f t="shared" ref="AI180" si="452">IFERROR(ROUNDDOWN(ROUND((L178*(U180-AW178)),0),0)*AF180,"")</f>
        <v/>
      </c>
      <c r="AJ180" s="1369">
        <f>IFERROR(IF(OR(M178="",M179="",M181=""),0,ROUNDDOWN(ROUNDDOWN(ROUND(L178*VLOOKUP(K178,【参考】数式用!$A$5:$AB$37,MATCH("新加算Ⅳ",【参考】数式用!$B$4:$AB$4,0)+1,0),0),0)*AF180*0.5,0)),"")</f>
        <v>0</v>
      </c>
      <c r="AK180" s="1339" t="str">
        <f t="shared" ref="AK180" si="453">IF(T180&lt;&gt;"","新規に適用","")</f>
        <v/>
      </c>
      <c r="AL180" s="1343">
        <f>IFERROR(IF(OR(M181="ベア加算",M181=""),0, IF(OR(T178="新加算Ⅰ",T178="新加算Ⅱ",T178="新加算Ⅲ",T178="新加算Ⅳ"),0,ROUNDDOWN(ROUND(L178*VLOOKUP(K178,【参考】数式用!$A$5:$I$37,MATCH("ベア加算",【参考】数式用!$B$4:$I$4,0)+1,0),0),0)*AF180)),"")</f>
        <v>0</v>
      </c>
      <c r="AM180" s="1313" t="str">
        <f>IF(AND(T180&lt;&gt;"",AM178=""),"新規に適用",IF(AND(T180&lt;&gt;"",AM178&lt;&gt;""),"継続で適用",""))</f>
        <v/>
      </c>
      <c r="AN180" s="1313" t="str">
        <f>IF(AND(T180&lt;&gt;"",AN178=""),"新規に適用",IF(AND(T180&lt;&gt;"",AN178&lt;&gt;""),"継続で適用",""))</f>
        <v/>
      </c>
      <c r="AO180" s="1361"/>
      <c r="AP180" s="1313" t="str">
        <f>IF(AND(T180&lt;&gt;"",AP178=""),"新規に適用",IF(AND(T180&lt;&gt;"",AP178&lt;&gt;""),"継続で適用",""))</f>
        <v/>
      </c>
      <c r="AQ180" s="1317" t="str">
        <f t="shared" si="420"/>
        <v/>
      </c>
      <c r="AR180" s="1313" t="str">
        <f>IF(AND(T180&lt;&gt;"",AR178=""),"新規に適用",IF(AND(T180&lt;&gt;"",AR178&lt;&gt;""),"継続で適用",""))</f>
        <v/>
      </c>
      <c r="AS180" s="1302"/>
      <c r="AT180" s="554"/>
      <c r="AU180" s="1303" t="str">
        <f>IF(K178&lt;&gt;"","V列に色付け","")</f>
        <v/>
      </c>
      <c r="AV180" s="1304"/>
      <c r="AW180" s="1305"/>
      <c r="AX180"/>
      <c r="AY180"/>
      <c r="AZ180"/>
      <c r="BA180"/>
      <c r="BB180"/>
      <c r="BC180"/>
      <c r="BD180"/>
      <c r="BE180"/>
      <c r="BF180"/>
      <c r="BG180"/>
      <c r="BH180"/>
      <c r="BI180"/>
      <c r="BJ180"/>
      <c r="BK180" s="452" t="str">
        <f>G178</f>
        <v/>
      </c>
    </row>
    <row r="181" spans="1:63" ht="30" customHeight="1" thickBot="1">
      <c r="A181" s="1268"/>
      <c r="B181" s="1411"/>
      <c r="C181" s="1412"/>
      <c r="D181" s="1412"/>
      <c r="E181" s="1412"/>
      <c r="F181" s="1413"/>
      <c r="G181" s="1253"/>
      <c r="H181" s="1253"/>
      <c r="I181" s="1253"/>
      <c r="J181" s="1416"/>
      <c r="K181" s="1253"/>
      <c r="L181" s="1277"/>
      <c r="M181" s="553" t="str">
        <f>IF('別紙様式2-2（４・５月分）'!P139="","",'別紙様式2-2（４・５月分）'!P139)</f>
        <v/>
      </c>
      <c r="N181" s="1394"/>
      <c r="O181" s="1374"/>
      <c r="P181" s="1376"/>
      <c r="Q181" s="1378"/>
      <c r="R181" s="1380"/>
      <c r="S181" s="1382"/>
      <c r="T181" s="1384"/>
      <c r="U181" s="1386"/>
      <c r="V181" s="1388"/>
      <c r="W181" s="1390"/>
      <c r="X181" s="1364"/>
      <c r="Y181" s="1390"/>
      <c r="Z181" s="1364"/>
      <c r="AA181" s="1390"/>
      <c r="AB181" s="1364"/>
      <c r="AC181" s="1390"/>
      <c r="AD181" s="1364"/>
      <c r="AE181" s="1364"/>
      <c r="AF181" s="1364"/>
      <c r="AG181" s="1360"/>
      <c r="AH181" s="1366"/>
      <c r="AI181" s="1368"/>
      <c r="AJ181" s="1370"/>
      <c r="AK181" s="1340"/>
      <c r="AL181" s="1344"/>
      <c r="AM181" s="1314"/>
      <c r="AN181" s="1314"/>
      <c r="AO181" s="1362"/>
      <c r="AP181" s="1314"/>
      <c r="AQ181" s="1318"/>
      <c r="AR181" s="1314"/>
      <c r="AS181" s="490"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4"/>
      <c r="AU181" s="1303"/>
      <c r="AV181" s="555" t="str">
        <f>IF('別紙様式2-2（４・５月分）'!N139="","",'別紙様式2-2（４・５月分）'!N139)</f>
        <v/>
      </c>
      <c r="AW181" s="1305"/>
      <c r="AX181"/>
      <c r="AY181"/>
      <c r="AZ181"/>
      <c r="BA181"/>
      <c r="BB181"/>
      <c r="BC181"/>
      <c r="BD181"/>
      <c r="BE181"/>
      <c r="BF181"/>
      <c r="BG181"/>
      <c r="BH181"/>
      <c r="BI181"/>
      <c r="BJ181"/>
      <c r="BK181" s="452" t="str">
        <f>G178</f>
        <v/>
      </c>
    </row>
    <row r="182" spans="1:63" ht="30" customHeight="1">
      <c r="A182" s="1266">
        <v>43</v>
      </c>
      <c r="B182" s="1232" t="str">
        <f>IF(基本情報入力シート!C96="","",基本情報入力シート!C96)</f>
        <v/>
      </c>
      <c r="C182" s="1233"/>
      <c r="D182" s="1233"/>
      <c r="E182" s="1233"/>
      <c r="F182" s="1234"/>
      <c r="G182" s="1251" t="str">
        <f>IF(基本情報入力シート!M96="","",基本情報入力シート!M96)</f>
        <v/>
      </c>
      <c r="H182" s="1251" t="str">
        <f>IF(基本情報入力シート!R96="","",基本情報入力シート!R96)</f>
        <v/>
      </c>
      <c r="I182" s="1251" t="str">
        <f>IF(基本情報入力シート!W96="","",基本情報入力シート!W96)</f>
        <v/>
      </c>
      <c r="J182" s="1414" t="str">
        <f>IF(基本情報入力シート!X96="","",基本情報入力シート!X96)</f>
        <v/>
      </c>
      <c r="K182" s="1251" t="str">
        <f>IF(基本情報入力シート!Y96="","",基本情報入力シート!Y96)</f>
        <v/>
      </c>
      <c r="L182" s="1275" t="str">
        <f>IF(基本情報入力シート!AB96="","",基本情報入力シート!AB96)</f>
        <v/>
      </c>
      <c r="M182" s="550" t="str">
        <f>IF('別紙様式2-2（４・５月分）'!P140="","",'別紙様式2-2（４・５月分）'!P140)</f>
        <v/>
      </c>
      <c r="N182" s="1391" t="str">
        <f>IF(SUM('別紙様式2-2（４・５月分）'!Q140:Q142)=0,"",SUM('別紙様式2-2（４・５月分）'!Q140:Q142))</f>
        <v/>
      </c>
      <c r="O182" s="1395" t="str">
        <f>IFERROR(VLOOKUP('別紙様式2-2（４・５月分）'!AQ140,【参考】数式用!$AR$5:$AS$22,2,FALSE),"")</f>
        <v/>
      </c>
      <c r="P182" s="1396"/>
      <c r="Q182" s="1397"/>
      <c r="R182" s="1401" t="str">
        <f>IFERROR(VLOOKUP(K182,【参考】数式用!$A$5:$AB$37,MATCH(O182,【参考】数式用!$B$4:$AB$4,0)+1,0),"")</f>
        <v/>
      </c>
      <c r="S182" s="1403" t="s">
        <v>2021</v>
      </c>
      <c r="T182" s="1405"/>
      <c r="U182" s="1407" t="str">
        <f>IFERROR(VLOOKUP(K182,【参考】数式用!$A$5:$AB$37,MATCH(T182,【参考】数式用!$B$4:$AB$4,0)+1,0),"")</f>
        <v/>
      </c>
      <c r="V182" s="1409" t="s">
        <v>15</v>
      </c>
      <c r="W182" s="1347">
        <v>6</v>
      </c>
      <c r="X182" s="1349" t="s">
        <v>10</v>
      </c>
      <c r="Y182" s="1347">
        <v>6</v>
      </c>
      <c r="Z182" s="1349" t="s">
        <v>38</v>
      </c>
      <c r="AA182" s="1347">
        <v>7</v>
      </c>
      <c r="AB182" s="1349" t="s">
        <v>10</v>
      </c>
      <c r="AC182" s="1347">
        <v>3</v>
      </c>
      <c r="AD182" s="1349" t="s">
        <v>13</v>
      </c>
      <c r="AE182" s="1349" t="s">
        <v>20</v>
      </c>
      <c r="AF182" s="1349">
        <f>IF(W182&gt;=1,(AA182*12+AC182)-(W182*12+Y182)+1,"")</f>
        <v>10</v>
      </c>
      <c r="AG182" s="1351" t="s">
        <v>33</v>
      </c>
      <c r="AH182" s="1353" t="str">
        <f t="shared" ref="AH182" si="455">IFERROR(ROUNDDOWN(ROUND(L182*U182,0),0)*AF182,"")</f>
        <v/>
      </c>
      <c r="AI182" s="1355" t="str">
        <f t="shared" ref="AI182" si="456">IFERROR(ROUNDDOWN(ROUND((L182*(U182-AW182)),0),0)*AF182,"")</f>
        <v/>
      </c>
      <c r="AJ182" s="1357">
        <f>IFERROR(IF(OR(M182="",M183="",M185=""),0,ROUNDDOWN(ROUNDDOWN(ROUND(L182*VLOOKUP(K182,【参考】数式用!$A$5:$AB$37,MATCH("新加算Ⅳ",【参考】数式用!$B$4:$AB$4,0)+1,0),0),0)*AF182*0.5,0)),"")</f>
        <v>0</v>
      </c>
      <c r="AK182" s="1341"/>
      <c r="AL182" s="1345">
        <f>IFERROR(IF(OR(M185="ベア加算",M185=""),0, IF(OR(T182="新加算Ⅰ",T182="新加算Ⅱ",T182="新加算Ⅲ",T182="新加算Ⅳ"),ROUNDDOWN(ROUND(L182*VLOOKUP(K182,【参考】数式用!$A$5:$I$37,MATCH("ベア加算",【参考】数式用!$B$4:$I$4,0)+1,0),0),0)*AF182,0)),"")</f>
        <v>0</v>
      </c>
      <c r="AM182" s="1331"/>
      <c r="AN182" s="1337"/>
      <c r="AO182" s="1333"/>
      <c r="AP182" s="1333"/>
      <c r="AQ182" s="1335"/>
      <c r="AR182" s="1315"/>
      <c r="AS182" s="465" t="str">
        <f t="shared" ref="AS182" si="457">IF(AU182="","",IF(U182&lt;N182,"！加算の要件上は問題ありませんが、令和６年４・５月と比較して令和６年６月に加算率が下がる計画になっています。",""))</f>
        <v/>
      </c>
      <c r="AT182" s="554"/>
      <c r="AU182" s="1303" t="str">
        <f>IF(K182&lt;&gt;"","V列に色付け","")</f>
        <v/>
      </c>
      <c r="AV182" s="555" t="str">
        <f>IF('別紙様式2-2（４・５月分）'!N140="","",'別紙様式2-2（４・５月分）'!N140)</f>
        <v/>
      </c>
      <c r="AW182" s="1305" t="str">
        <f>IF(SUM('別紙様式2-2（４・５月分）'!O140:O142)=0,"",SUM('別紙様式2-2（４・５月分）'!O140:O142))</f>
        <v/>
      </c>
      <c r="AX182" s="1306" t="str">
        <f>IFERROR(VLOOKUP(K182,【参考】数式用!$AH$2:$AI$34,2,FALSE),"")</f>
        <v/>
      </c>
      <c r="AY182" s="1222" t="s">
        <v>1959</v>
      </c>
      <c r="AZ182" s="1222" t="s">
        <v>1960</v>
      </c>
      <c r="BA182" s="1222" t="s">
        <v>1961</v>
      </c>
      <c r="BB182" s="1222" t="s">
        <v>1962</v>
      </c>
      <c r="BC182" s="1222" t="str">
        <f>IF(AND(O182&lt;&gt;"新加算Ⅰ",O182&lt;&gt;"新加算Ⅱ",O182&lt;&gt;"新加算Ⅲ",O182&lt;&gt;"新加算Ⅳ"),O182,IF(P184&lt;&gt;"",P184,""))</f>
        <v/>
      </c>
      <c r="BD182" s="1222"/>
      <c r="BE182" s="1222" t="str">
        <f t="shared" ref="BE182" si="458">IF(AL182&lt;&gt;0,IF(AM182="○","入力済","未入力"),"")</f>
        <v/>
      </c>
      <c r="BF182" s="1222"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2" t="str">
        <f>IF(OR(T182="新加算Ⅴ（７）",T182="新加算Ⅴ（９）",T182="新加算Ⅴ（10）",T182="新加算Ⅴ（12）",T182="新加算Ⅴ（13）",T182="新加算Ⅴ（14）"),IF(OR(AO182="○",AO182="令和６年度中に満たす"),"入力済","未入力"),"")</f>
        <v/>
      </c>
      <c r="BH182" s="1323" t="str">
        <f t="shared" ref="BH182" si="459">IF(OR(T182="新加算Ⅰ",T182="新加算Ⅱ",T182="新加算Ⅲ",T182="新加算Ⅴ（１）",T182="新加算Ⅴ（３）",T182="新加算Ⅴ（８）"),IF(OR(AP182="○",AP182="令和６年度中に満たす"),"入力済","未入力"),"")</f>
        <v/>
      </c>
      <c r="BI182" s="1325" t="str">
        <f t="shared" ref="BI182" si="460">IF(OR(T182="新加算Ⅰ",T182="新加算Ⅱ",T182="新加算Ⅴ（１）",T182="新加算Ⅴ（２）",T182="新加算Ⅴ（３）",T182="新加算Ⅴ（４）",T182="新加算Ⅴ（５）",T182="新加算Ⅴ（６）",T182="新加算Ⅴ（７）",T182="新加算Ⅴ（９）",T182="新加算Ⅴ（10）",T182="新加算Ⅴ（12）"),1,"")</f>
        <v/>
      </c>
      <c r="BJ182" s="1303" t="str">
        <f>IF(OR(T182="新加算Ⅰ",T182="新加算Ⅴ（１）",T182="新加算Ⅴ（２）",T182="新加算Ⅴ（５）",T182="新加算Ⅴ（７）",T182="新加算Ⅴ（10）"),IF(AR182="","未入力","入力済"),"")</f>
        <v/>
      </c>
      <c r="BK182" s="452" t="str">
        <f>G182</f>
        <v/>
      </c>
    </row>
    <row r="183" spans="1:63" ht="15" customHeight="1">
      <c r="A183" s="1267"/>
      <c r="B183" s="1235"/>
      <c r="C183" s="1236"/>
      <c r="D183" s="1236"/>
      <c r="E183" s="1236"/>
      <c r="F183" s="1237"/>
      <c r="G183" s="1252"/>
      <c r="H183" s="1252"/>
      <c r="I183" s="1252"/>
      <c r="J183" s="1415"/>
      <c r="K183" s="1252"/>
      <c r="L183" s="1276"/>
      <c r="M183" s="1371" t="str">
        <f>IF('別紙様式2-2（４・５月分）'!P141="","",'別紙様式2-2（４・５月分）'!P141)</f>
        <v/>
      </c>
      <c r="N183" s="1392"/>
      <c r="O183" s="1398"/>
      <c r="P183" s="1399"/>
      <c r="Q183" s="1400"/>
      <c r="R183" s="1402"/>
      <c r="S183" s="1404"/>
      <c r="T183" s="1406"/>
      <c r="U183" s="1408"/>
      <c r="V183" s="1410"/>
      <c r="W183" s="1348"/>
      <c r="X183" s="1350"/>
      <c r="Y183" s="1348"/>
      <c r="Z183" s="1350"/>
      <c r="AA183" s="1348"/>
      <c r="AB183" s="1350"/>
      <c r="AC183" s="1348"/>
      <c r="AD183" s="1350"/>
      <c r="AE183" s="1350"/>
      <c r="AF183" s="1350"/>
      <c r="AG183" s="1352"/>
      <c r="AH183" s="1354"/>
      <c r="AI183" s="1356"/>
      <c r="AJ183" s="1358"/>
      <c r="AK183" s="1342"/>
      <c r="AL183" s="1346"/>
      <c r="AM183" s="1332"/>
      <c r="AN183" s="1338"/>
      <c r="AO183" s="1334"/>
      <c r="AP183" s="1334"/>
      <c r="AQ183" s="1336"/>
      <c r="AR183" s="1316"/>
      <c r="AS183" s="1302"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4"/>
      <c r="AU183" s="1303"/>
      <c r="AV183" s="1304" t="str">
        <f>IF('別紙様式2-2（４・５月分）'!N141="","",'別紙様式2-2（４・５月分）'!N141)</f>
        <v/>
      </c>
      <c r="AW183" s="1305"/>
      <c r="AX183" s="1306"/>
      <c r="AY183" s="1222"/>
      <c r="AZ183" s="1222"/>
      <c r="BA183" s="1222"/>
      <c r="BB183" s="1222"/>
      <c r="BC183" s="1222"/>
      <c r="BD183" s="1222"/>
      <c r="BE183" s="1222"/>
      <c r="BF183" s="1222"/>
      <c r="BG183" s="1222"/>
      <c r="BH183" s="1324"/>
      <c r="BI183" s="1326"/>
      <c r="BJ183" s="1303"/>
      <c r="BK183" s="452" t="str">
        <f>G182</f>
        <v/>
      </c>
    </row>
    <row r="184" spans="1:63" ht="15" customHeight="1">
      <c r="A184" s="1295"/>
      <c r="B184" s="1235"/>
      <c r="C184" s="1236"/>
      <c r="D184" s="1236"/>
      <c r="E184" s="1236"/>
      <c r="F184" s="1237"/>
      <c r="G184" s="1252"/>
      <c r="H184" s="1252"/>
      <c r="I184" s="1252"/>
      <c r="J184" s="1415"/>
      <c r="K184" s="1252"/>
      <c r="L184" s="1276"/>
      <c r="M184" s="1372"/>
      <c r="N184" s="1393"/>
      <c r="O184" s="1373" t="s">
        <v>2025</v>
      </c>
      <c r="P184" s="1375" t="str">
        <f>IFERROR(VLOOKUP('別紙様式2-2（４・５月分）'!AQ140,【参考】数式用!$AR$5:$AT$22,3,FALSE),"")</f>
        <v/>
      </c>
      <c r="Q184" s="1377" t="s">
        <v>2036</v>
      </c>
      <c r="R184" s="1379" t="str">
        <f>IFERROR(VLOOKUP(K182,【参考】数式用!$A$5:$AB$37,MATCH(P184,【参考】数式用!$B$4:$AB$4,0)+1,0),"")</f>
        <v/>
      </c>
      <c r="S184" s="1381" t="s">
        <v>161</v>
      </c>
      <c r="T184" s="1383"/>
      <c r="U184" s="1385" t="str">
        <f>IFERROR(VLOOKUP(K182,【参考】数式用!$A$5:$AB$37,MATCH(T184,【参考】数式用!$B$4:$AB$4,0)+1,0),"")</f>
        <v/>
      </c>
      <c r="V184" s="1387" t="s">
        <v>15</v>
      </c>
      <c r="W184" s="1389">
        <v>7</v>
      </c>
      <c r="X184" s="1363" t="s">
        <v>10</v>
      </c>
      <c r="Y184" s="1389">
        <v>4</v>
      </c>
      <c r="Z184" s="1363" t="s">
        <v>38</v>
      </c>
      <c r="AA184" s="1389">
        <v>8</v>
      </c>
      <c r="AB184" s="1363" t="s">
        <v>10</v>
      </c>
      <c r="AC184" s="1389">
        <v>3</v>
      </c>
      <c r="AD184" s="1363" t="s">
        <v>13</v>
      </c>
      <c r="AE184" s="1363" t="s">
        <v>20</v>
      </c>
      <c r="AF184" s="1363">
        <f>IF(W184&gt;=1,(AA184*12+AC184)-(W184*12+Y184)+1,"")</f>
        <v>12</v>
      </c>
      <c r="AG184" s="1359" t="s">
        <v>33</v>
      </c>
      <c r="AH184" s="1365" t="str">
        <f t="shared" ref="AH184" si="462">IFERROR(ROUNDDOWN(ROUND(L182*U184,0),0)*AF184,"")</f>
        <v/>
      </c>
      <c r="AI184" s="1367" t="str">
        <f t="shared" ref="AI184" si="463">IFERROR(ROUNDDOWN(ROUND((L182*(U184-AW182)),0),0)*AF184,"")</f>
        <v/>
      </c>
      <c r="AJ184" s="1369">
        <f>IFERROR(IF(OR(M182="",M183="",M185=""),0,ROUNDDOWN(ROUNDDOWN(ROUND(L182*VLOOKUP(K182,【参考】数式用!$A$5:$AB$37,MATCH("新加算Ⅳ",【参考】数式用!$B$4:$AB$4,0)+1,0),0),0)*AF184*0.5,0)),"")</f>
        <v>0</v>
      </c>
      <c r="AK184" s="1339" t="str">
        <f t="shared" ref="AK184" si="464">IF(T184&lt;&gt;"","新規に適用","")</f>
        <v/>
      </c>
      <c r="AL184" s="1343">
        <f>IFERROR(IF(OR(M185="ベア加算",M185=""),0, IF(OR(T182="新加算Ⅰ",T182="新加算Ⅱ",T182="新加算Ⅲ",T182="新加算Ⅳ"),0,ROUNDDOWN(ROUND(L182*VLOOKUP(K182,【参考】数式用!$A$5:$I$37,MATCH("ベア加算",【参考】数式用!$B$4:$I$4,0)+1,0),0),0)*AF184)),"")</f>
        <v>0</v>
      </c>
      <c r="AM184" s="1313" t="str">
        <f>IF(AND(T184&lt;&gt;"",AM182=""),"新規に適用",IF(AND(T184&lt;&gt;"",AM182&lt;&gt;""),"継続で適用",""))</f>
        <v/>
      </c>
      <c r="AN184" s="1313" t="str">
        <f>IF(AND(T184&lt;&gt;"",AN182=""),"新規に適用",IF(AND(T184&lt;&gt;"",AN182&lt;&gt;""),"継続で適用",""))</f>
        <v/>
      </c>
      <c r="AO184" s="1361"/>
      <c r="AP184" s="1313" t="str">
        <f>IF(AND(T184&lt;&gt;"",AP182=""),"新規に適用",IF(AND(T184&lt;&gt;"",AP182&lt;&gt;""),"継続で適用",""))</f>
        <v/>
      </c>
      <c r="AQ184" s="1317" t="str">
        <f t="shared" si="420"/>
        <v/>
      </c>
      <c r="AR184" s="1313" t="str">
        <f>IF(AND(T184&lt;&gt;"",AR182=""),"新規に適用",IF(AND(T184&lt;&gt;"",AR182&lt;&gt;""),"継続で適用",""))</f>
        <v/>
      </c>
      <c r="AS184" s="1302"/>
      <c r="AT184" s="554"/>
      <c r="AU184" s="1303" t="str">
        <f>IF(K182&lt;&gt;"","V列に色付け","")</f>
        <v/>
      </c>
      <c r="AV184" s="1304"/>
      <c r="AW184" s="1305"/>
      <c r="AX184"/>
      <c r="AY184"/>
      <c r="AZ184"/>
      <c r="BA184"/>
      <c r="BB184"/>
      <c r="BC184"/>
      <c r="BD184"/>
      <c r="BE184"/>
      <c r="BF184"/>
      <c r="BG184"/>
      <c r="BH184"/>
      <c r="BI184"/>
      <c r="BJ184"/>
      <c r="BK184" s="452" t="str">
        <f>G182</f>
        <v/>
      </c>
    </row>
    <row r="185" spans="1:63" ht="30" customHeight="1" thickBot="1">
      <c r="A185" s="1268"/>
      <c r="B185" s="1411"/>
      <c r="C185" s="1412"/>
      <c r="D185" s="1412"/>
      <c r="E185" s="1412"/>
      <c r="F185" s="1413"/>
      <c r="G185" s="1253"/>
      <c r="H185" s="1253"/>
      <c r="I185" s="1253"/>
      <c r="J185" s="1416"/>
      <c r="K185" s="1253"/>
      <c r="L185" s="1277"/>
      <c r="M185" s="553" t="str">
        <f>IF('別紙様式2-2（４・５月分）'!P142="","",'別紙様式2-2（４・５月分）'!P142)</f>
        <v/>
      </c>
      <c r="N185" s="1394"/>
      <c r="O185" s="1374"/>
      <c r="P185" s="1376"/>
      <c r="Q185" s="1378"/>
      <c r="R185" s="1380"/>
      <c r="S185" s="1382"/>
      <c r="T185" s="1384"/>
      <c r="U185" s="1386"/>
      <c r="V185" s="1388"/>
      <c r="W185" s="1390"/>
      <c r="X185" s="1364"/>
      <c r="Y185" s="1390"/>
      <c r="Z185" s="1364"/>
      <c r="AA185" s="1390"/>
      <c r="AB185" s="1364"/>
      <c r="AC185" s="1390"/>
      <c r="AD185" s="1364"/>
      <c r="AE185" s="1364"/>
      <c r="AF185" s="1364"/>
      <c r="AG185" s="1360"/>
      <c r="AH185" s="1366"/>
      <c r="AI185" s="1368"/>
      <c r="AJ185" s="1370"/>
      <c r="AK185" s="1340"/>
      <c r="AL185" s="1344"/>
      <c r="AM185" s="1314"/>
      <c r="AN185" s="1314"/>
      <c r="AO185" s="1362"/>
      <c r="AP185" s="1314"/>
      <c r="AQ185" s="1318"/>
      <c r="AR185" s="1314"/>
      <c r="AS185" s="490"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4"/>
      <c r="AU185" s="1303"/>
      <c r="AV185" s="555" t="str">
        <f>IF('別紙様式2-2（４・５月分）'!N142="","",'別紙様式2-2（４・５月分）'!N142)</f>
        <v/>
      </c>
      <c r="AW185" s="1305"/>
      <c r="AX185"/>
      <c r="AY185"/>
      <c r="AZ185"/>
      <c r="BA185"/>
      <c r="BB185"/>
      <c r="BC185"/>
      <c r="BD185"/>
      <c r="BE185"/>
      <c r="BF185"/>
      <c r="BG185"/>
      <c r="BH185"/>
      <c r="BI185"/>
      <c r="BJ185"/>
      <c r="BK185" s="452" t="str">
        <f>G182</f>
        <v/>
      </c>
    </row>
    <row r="186" spans="1:63" ht="30" customHeight="1">
      <c r="A186" s="1293">
        <v>44</v>
      </c>
      <c r="B186" s="1235" t="str">
        <f>IF(基本情報入力シート!C97="","",基本情報入力シート!C97)</f>
        <v/>
      </c>
      <c r="C186" s="1236"/>
      <c r="D186" s="1236"/>
      <c r="E186" s="1236"/>
      <c r="F186" s="1237"/>
      <c r="G186" s="1252" t="str">
        <f>IF(基本情報入力シート!M97="","",基本情報入力シート!M97)</f>
        <v/>
      </c>
      <c r="H186" s="1252" t="str">
        <f>IF(基本情報入力シート!R97="","",基本情報入力シート!R97)</f>
        <v/>
      </c>
      <c r="I186" s="1252" t="str">
        <f>IF(基本情報入力シート!W97="","",基本情報入力シート!W97)</f>
        <v/>
      </c>
      <c r="J186" s="1415" t="str">
        <f>IF(基本情報入力シート!X97="","",基本情報入力シート!X97)</f>
        <v/>
      </c>
      <c r="K186" s="1252" t="str">
        <f>IF(基本情報入力シート!Y97="","",基本情報入力シート!Y97)</f>
        <v/>
      </c>
      <c r="L186" s="1276" t="str">
        <f>IF(基本情報入力シート!AB97="","",基本情報入力シート!AB97)</f>
        <v/>
      </c>
      <c r="M186" s="550" t="str">
        <f>IF('別紙様式2-2（４・５月分）'!P143="","",'別紙様式2-2（４・５月分）'!P143)</f>
        <v/>
      </c>
      <c r="N186" s="1391" t="str">
        <f>IF(SUM('別紙様式2-2（４・５月分）'!Q143:Q145)=0,"",SUM('別紙様式2-2（４・５月分）'!Q143:Q145))</f>
        <v/>
      </c>
      <c r="O186" s="1395" t="str">
        <f>IFERROR(VLOOKUP('別紙様式2-2（４・５月分）'!AQ143,【参考】数式用!$AR$5:$AS$22,2,FALSE),"")</f>
        <v/>
      </c>
      <c r="P186" s="1396"/>
      <c r="Q186" s="1397"/>
      <c r="R186" s="1401" t="str">
        <f>IFERROR(VLOOKUP(K186,【参考】数式用!$A$5:$AB$37,MATCH(O186,【参考】数式用!$B$4:$AB$4,0)+1,0),"")</f>
        <v/>
      </c>
      <c r="S186" s="1403" t="s">
        <v>2021</v>
      </c>
      <c r="T186" s="1405"/>
      <c r="U186" s="1407" t="str">
        <f>IFERROR(VLOOKUP(K186,【参考】数式用!$A$5:$AB$37,MATCH(T186,【参考】数式用!$B$4:$AB$4,0)+1,0),"")</f>
        <v/>
      </c>
      <c r="V186" s="1409" t="s">
        <v>15</v>
      </c>
      <c r="W186" s="1347">
        <v>6</v>
      </c>
      <c r="X186" s="1349" t="s">
        <v>10</v>
      </c>
      <c r="Y186" s="1347">
        <v>6</v>
      </c>
      <c r="Z186" s="1349" t="s">
        <v>38</v>
      </c>
      <c r="AA186" s="1347">
        <v>7</v>
      </c>
      <c r="AB186" s="1349" t="s">
        <v>10</v>
      </c>
      <c r="AC186" s="1347">
        <v>3</v>
      </c>
      <c r="AD186" s="1349" t="s">
        <v>13</v>
      </c>
      <c r="AE186" s="1349" t="s">
        <v>20</v>
      </c>
      <c r="AF186" s="1349">
        <f>IF(W186&gt;=1,(AA186*12+AC186)-(W186*12+Y186)+1,"")</f>
        <v>10</v>
      </c>
      <c r="AG186" s="1351" t="s">
        <v>33</v>
      </c>
      <c r="AH186" s="1353" t="str">
        <f t="shared" ref="AH186" si="466">IFERROR(ROUNDDOWN(ROUND(L186*U186,0),0)*AF186,"")</f>
        <v/>
      </c>
      <c r="AI186" s="1355" t="str">
        <f t="shared" ref="AI186" si="467">IFERROR(ROUNDDOWN(ROUND((L186*(U186-AW186)),0),0)*AF186,"")</f>
        <v/>
      </c>
      <c r="AJ186" s="1357">
        <f>IFERROR(IF(OR(M186="",M187="",M189=""),0,ROUNDDOWN(ROUNDDOWN(ROUND(L186*VLOOKUP(K186,【参考】数式用!$A$5:$AB$37,MATCH("新加算Ⅳ",【参考】数式用!$B$4:$AB$4,0)+1,0),0),0)*AF186*0.5,0)),"")</f>
        <v>0</v>
      </c>
      <c r="AK186" s="1341"/>
      <c r="AL186" s="1345">
        <f>IFERROR(IF(OR(M189="ベア加算",M189=""),0, IF(OR(T186="新加算Ⅰ",T186="新加算Ⅱ",T186="新加算Ⅲ",T186="新加算Ⅳ"),ROUNDDOWN(ROUND(L186*VLOOKUP(K186,【参考】数式用!$A$5:$I$37,MATCH("ベア加算",【参考】数式用!$B$4:$I$4,0)+1,0),0),0)*AF186,0)),"")</f>
        <v>0</v>
      </c>
      <c r="AM186" s="1331"/>
      <c r="AN186" s="1337"/>
      <c r="AO186" s="1333"/>
      <c r="AP186" s="1333"/>
      <c r="AQ186" s="1335"/>
      <c r="AR186" s="1315"/>
      <c r="AS186" s="465" t="str">
        <f t="shared" ref="AS186" si="468">IF(AU186="","",IF(U186&lt;N186,"！加算の要件上は問題ありませんが、令和６年４・５月と比較して令和６年６月に加算率が下がる計画になっています。",""))</f>
        <v/>
      </c>
      <c r="AT186" s="554"/>
      <c r="AU186" s="1303" t="str">
        <f>IF(K186&lt;&gt;"","V列に色付け","")</f>
        <v/>
      </c>
      <c r="AV186" s="555" t="str">
        <f>IF('別紙様式2-2（４・５月分）'!N143="","",'別紙様式2-2（４・５月分）'!N143)</f>
        <v/>
      </c>
      <c r="AW186" s="1305" t="str">
        <f>IF(SUM('別紙様式2-2（４・５月分）'!O143:O145)=0,"",SUM('別紙様式2-2（４・５月分）'!O143:O145))</f>
        <v/>
      </c>
      <c r="AX186" s="1306" t="str">
        <f>IFERROR(VLOOKUP(K186,【参考】数式用!$AH$2:$AI$34,2,FALSE),"")</f>
        <v/>
      </c>
      <c r="AY186" s="1222" t="s">
        <v>1959</v>
      </c>
      <c r="AZ186" s="1222" t="s">
        <v>1960</v>
      </c>
      <c r="BA186" s="1222" t="s">
        <v>1961</v>
      </c>
      <c r="BB186" s="1222" t="s">
        <v>1962</v>
      </c>
      <c r="BC186" s="1222" t="str">
        <f>IF(AND(O186&lt;&gt;"新加算Ⅰ",O186&lt;&gt;"新加算Ⅱ",O186&lt;&gt;"新加算Ⅲ",O186&lt;&gt;"新加算Ⅳ"),O186,IF(P188&lt;&gt;"",P188,""))</f>
        <v/>
      </c>
      <c r="BD186" s="1222"/>
      <c r="BE186" s="1222" t="str">
        <f t="shared" ref="BE186" si="469">IF(AL186&lt;&gt;0,IF(AM186="○","入力済","未入力"),"")</f>
        <v/>
      </c>
      <c r="BF186" s="1222"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2" t="str">
        <f>IF(OR(T186="新加算Ⅴ（７）",T186="新加算Ⅴ（９）",T186="新加算Ⅴ（10）",T186="新加算Ⅴ（12）",T186="新加算Ⅴ（13）",T186="新加算Ⅴ（14）"),IF(OR(AO186="○",AO186="令和６年度中に満たす"),"入力済","未入力"),"")</f>
        <v/>
      </c>
      <c r="BH186" s="1323" t="str">
        <f t="shared" ref="BH186" si="470">IF(OR(T186="新加算Ⅰ",T186="新加算Ⅱ",T186="新加算Ⅲ",T186="新加算Ⅴ（１）",T186="新加算Ⅴ（３）",T186="新加算Ⅴ（８）"),IF(OR(AP186="○",AP186="令和６年度中に満たす"),"入力済","未入力"),"")</f>
        <v/>
      </c>
      <c r="BI186" s="1325" t="str">
        <f t="shared" ref="BI186" si="471">IF(OR(T186="新加算Ⅰ",T186="新加算Ⅱ",T186="新加算Ⅴ（１）",T186="新加算Ⅴ（２）",T186="新加算Ⅴ（３）",T186="新加算Ⅴ（４）",T186="新加算Ⅴ（５）",T186="新加算Ⅴ（６）",T186="新加算Ⅴ（７）",T186="新加算Ⅴ（９）",T186="新加算Ⅴ（10）",T186="新加算Ⅴ（12）"),1,"")</f>
        <v/>
      </c>
      <c r="BJ186" s="1303" t="str">
        <f>IF(OR(T186="新加算Ⅰ",T186="新加算Ⅴ（１）",T186="新加算Ⅴ（２）",T186="新加算Ⅴ（５）",T186="新加算Ⅴ（７）",T186="新加算Ⅴ（10）"),IF(AR186="","未入力","入力済"),"")</f>
        <v/>
      </c>
      <c r="BK186" s="452" t="str">
        <f>G186</f>
        <v/>
      </c>
    </row>
    <row r="187" spans="1:63" ht="15" customHeight="1">
      <c r="A187" s="1267"/>
      <c r="B187" s="1235"/>
      <c r="C187" s="1236"/>
      <c r="D187" s="1236"/>
      <c r="E187" s="1236"/>
      <c r="F187" s="1237"/>
      <c r="G187" s="1252"/>
      <c r="H187" s="1252"/>
      <c r="I187" s="1252"/>
      <c r="J187" s="1415"/>
      <c r="K187" s="1252"/>
      <c r="L187" s="1276"/>
      <c r="M187" s="1371" t="str">
        <f>IF('別紙様式2-2（４・５月分）'!P144="","",'別紙様式2-2（４・５月分）'!P144)</f>
        <v/>
      </c>
      <c r="N187" s="1392"/>
      <c r="O187" s="1398"/>
      <c r="P187" s="1399"/>
      <c r="Q187" s="1400"/>
      <c r="R187" s="1402"/>
      <c r="S187" s="1404"/>
      <c r="T187" s="1406"/>
      <c r="U187" s="1408"/>
      <c r="V187" s="1410"/>
      <c r="W187" s="1348"/>
      <c r="X187" s="1350"/>
      <c r="Y187" s="1348"/>
      <c r="Z187" s="1350"/>
      <c r="AA187" s="1348"/>
      <c r="AB187" s="1350"/>
      <c r="AC187" s="1348"/>
      <c r="AD187" s="1350"/>
      <c r="AE187" s="1350"/>
      <c r="AF187" s="1350"/>
      <c r="AG187" s="1352"/>
      <c r="AH187" s="1354"/>
      <c r="AI187" s="1356"/>
      <c r="AJ187" s="1358"/>
      <c r="AK187" s="1342"/>
      <c r="AL187" s="1346"/>
      <c r="AM187" s="1332"/>
      <c r="AN187" s="1338"/>
      <c r="AO187" s="1334"/>
      <c r="AP187" s="1334"/>
      <c r="AQ187" s="1336"/>
      <c r="AR187" s="1316"/>
      <c r="AS187" s="1302"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4"/>
      <c r="AU187" s="1303"/>
      <c r="AV187" s="1304" t="str">
        <f>IF('別紙様式2-2（４・５月分）'!N144="","",'別紙様式2-2（４・５月分）'!N144)</f>
        <v/>
      </c>
      <c r="AW187" s="1305"/>
      <c r="AX187" s="1306"/>
      <c r="AY187" s="1222"/>
      <c r="AZ187" s="1222"/>
      <c r="BA187" s="1222"/>
      <c r="BB187" s="1222"/>
      <c r="BC187" s="1222"/>
      <c r="BD187" s="1222"/>
      <c r="BE187" s="1222"/>
      <c r="BF187" s="1222"/>
      <c r="BG187" s="1222"/>
      <c r="BH187" s="1324"/>
      <c r="BI187" s="1326"/>
      <c r="BJ187" s="1303"/>
      <c r="BK187" s="452" t="str">
        <f>G186</f>
        <v/>
      </c>
    </row>
    <row r="188" spans="1:63" ht="15" customHeight="1">
      <c r="A188" s="1295"/>
      <c r="B188" s="1235"/>
      <c r="C188" s="1236"/>
      <c r="D188" s="1236"/>
      <c r="E188" s="1236"/>
      <c r="F188" s="1237"/>
      <c r="G188" s="1252"/>
      <c r="H188" s="1252"/>
      <c r="I188" s="1252"/>
      <c r="J188" s="1415"/>
      <c r="K188" s="1252"/>
      <c r="L188" s="1276"/>
      <c r="M188" s="1372"/>
      <c r="N188" s="1393"/>
      <c r="O188" s="1373" t="s">
        <v>2025</v>
      </c>
      <c r="P188" s="1375" t="str">
        <f>IFERROR(VLOOKUP('別紙様式2-2（４・５月分）'!AQ143,【参考】数式用!$AR$5:$AT$22,3,FALSE),"")</f>
        <v/>
      </c>
      <c r="Q188" s="1377" t="s">
        <v>2036</v>
      </c>
      <c r="R188" s="1379" t="str">
        <f>IFERROR(VLOOKUP(K186,【参考】数式用!$A$5:$AB$37,MATCH(P188,【参考】数式用!$B$4:$AB$4,0)+1,0),"")</f>
        <v/>
      </c>
      <c r="S188" s="1381" t="s">
        <v>161</v>
      </c>
      <c r="T188" s="1383"/>
      <c r="U188" s="1385" t="str">
        <f>IFERROR(VLOOKUP(K186,【参考】数式用!$A$5:$AB$37,MATCH(T188,【参考】数式用!$B$4:$AB$4,0)+1,0),"")</f>
        <v/>
      </c>
      <c r="V188" s="1387" t="s">
        <v>15</v>
      </c>
      <c r="W188" s="1389">
        <v>7</v>
      </c>
      <c r="X188" s="1363" t="s">
        <v>10</v>
      </c>
      <c r="Y188" s="1389">
        <v>4</v>
      </c>
      <c r="Z188" s="1363" t="s">
        <v>38</v>
      </c>
      <c r="AA188" s="1389">
        <v>8</v>
      </c>
      <c r="AB188" s="1363" t="s">
        <v>10</v>
      </c>
      <c r="AC188" s="1389">
        <v>3</v>
      </c>
      <c r="AD188" s="1363" t="s">
        <v>13</v>
      </c>
      <c r="AE188" s="1363" t="s">
        <v>20</v>
      </c>
      <c r="AF188" s="1363">
        <f>IF(W188&gt;=1,(AA188*12+AC188)-(W188*12+Y188)+1,"")</f>
        <v>12</v>
      </c>
      <c r="AG188" s="1359" t="s">
        <v>33</v>
      </c>
      <c r="AH188" s="1365" t="str">
        <f t="shared" ref="AH188" si="473">IFERROR(ROUNDDOWN(ROUND(L186*U188,0),0)*AF188,"")</f>
        <v/>
      </c>
      <c r="AI188" s="1367" t="str">
        <f t="shared" ref="AI188" si="474">IFERROR(ROUNDDOWN(ROUND((L186*(U188-AW186)),0),0)*AF188,"")</f>
        <v/>
      </c>
      <c r="AJ188" s="1369">
        <f>IFERROR(IF(OR(M186="",M187="",M189=""),0,ROUNDDOWN(ROUNDDOWN(ROUND(L186*VLOOKUP(K186,【参考】数式用!$A$5:$AB$37,MATCH("新加算Ⅳ",【参考】数式用!$B$4:$AB$4,0)+1,0),0),0)*AF188*0.5,0)),"")</f>
        <v>0</v>
      </c>
      <c r="AK188" s="1339" t="str">
        <f t="shared" ref="AK188" si="475">IF(T188&lt;&gt;"","新規に適用","")</f>
        <v/>
      </c>
      <c r="AL188" s="1343">
        <f>IFERROR(IF(OR(M189="ベア加算",M189=""),0, IF(OR(T186="新加算Ⅰ",T186="新加算Ⅱ",T186="新加算Ⅲ",T186="新加算Ⅳ"),0,ROUNDDOWN(ROUND(L186*VLOOKUP(K186,【参考】数式用!$A$5:$I$37,MATCH("ベア加算",【参考】数式用!$B$4:$I$4,0)+1,0),0),0)*AF188)),"")</f>
        <v>0</v>
      </c>
      <c r="AM188" s="1313" t="str">
        <f>IF(AND(T188&lt;&gt;"",AM186=""),"新規に適用",IF(AND(T188&lt;&gt;"",AM186&lt;&gt;""),"継続で適用",""))</f>
        <v/>
      </c>
      <c r="AN188" s="1313" t="str">
        <f>IF(AND(T188&lt;&gt;"",AN186=""),"新規に適用",IF(AND(T188&lt;&gt;"",AN186&lt;&gt;""),"継続で適用",""))</f>
        <v/>
      </c>
      <c r="AO188" s="1361"/>
      <c r="AP188" s="1313" t="str">
        <f>IF(AND(T188&lt;&gt;"",AP186=""),"新規に適用",IF(AND(T188&lt;&gt;"",AP186&lt;&gt;""),"継続で適用",""))</f>
        <v/>
      </c>
      <c r="AQ188" s="1317" t="str">
        <f t="shared" si="420"/>
        <v/>
      </c>
      <c r="AR188" s="1313" t="str">
        <f>IF(AND(T188&lt;&gt;"",AR186=""),"新規に適用",IF(AND(T188&lt;&gt;"",AR186&lt;&gt;""),"継続で適用",""))</f>
        <v/>
      </c>
      <c r="AS188" s="1302"/>
      <c r="AT188" s="554"/>
      <c r="AU188" s="1303" t="str">
        <f>IF(K186&lt;&gt;"","V列に色付け","")</f>
        <v/>
      </c>
      <c r="AV188" s="1304"/>
      <c r="AW188" s="1305"/>
      <c r="AX188"/>
      <c r="AY188"/>
      <c r="AZ188"/>
      <c r="BA188"/>
      <c r="BB188"/>
      <c r="BC188"/>
      <c r="BD188"/>
      <c r="BE188"/>
      <c r="BF188"/>
      <c r="BG188"/>
      <c r="BH188"/>
      <c r="BI188"/>
      <c r="BJ188"/>
      <c r="BK188" s="452" t="str">
        <f>G186</f>
        <v/>
      </c>
    </row>
    <row r="189" spans="1:63" ht="30" customHeight="1" thickBot="1">
      <c r="A189" s="1268"/>
      <c r="B189" s="1411"/>
      <c r="C189" s="1412"/>
      <c r="D189" s="1412"/>
      <c r="E189" s="1412"/>
      <c r="F189" s="1413"/>
      <c r="G189" s="1253"/>
      <c r="H189" s="1253"/>
      <c r="I189" s="1253"/>
      <c r="J189" s="1416"/>
      <c r="K189" s="1253"/>
      <c r="L189" s="1277"/>
      <c r="M189" s="553" t="str">
        <f>IF('別紙様式2-2（４・５月分）'!P145="","",'別紙様式2-2（４・５月分）'!P145)</f>
        <v/>
      </c>
      <c r="N189" s="1394"/>
      <c r="O189" s="1374"/>
      <c r="P189" s="1376"/>
      <c r="Q189" s="1378"/>
      <c r="R189" s="1380"/>
      <c r="S189" s="1382"/>
      <c r="T189" s="1384"/>
      <c r="U189" s="1386"/>
      <c r="V189" s="1388"/>
      <c r="W189" s="1390"/>
      <c r="X189" s="1364"/>
      <c r="Y189" s="1390"/>
      <c r="Z189" s="1364"/>
      <c r="AA189" s="1390"/>
      <c r="AB189" s="1364"/>
      <c r="AC189" s="1390"/>
      <c r="AD189" s="1364"/>
      <c r="AE189" s="1364"/>
      <c r="AF189" s="1364"/>
      <c r="AG189" s="1360"/>
      <c r="AH189" s="1366"/>
      <c r="AI189" s="1368"/>
      <c r="AJ189" s="1370"/>
      <c r="AK189" s="1340"/>
      <c r="AL189" s="1344"/>
      <c r="AM189" s="1314"/>
      <c r="AN189" s="1314"/>
      <c r="AO189" s="1362"/>
      <c r="AP189" s="1314"/>
      <c r="AQ189" s="1318"/>
      <c r="AR189" s="1314"/>
      <c r="AS189" s="490"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4"/>
      <c r="AU189" s="1303"/>
      <c r="AV189" s="555" t="str">
        <f>IF('別紙様式2-2（４・５月分）'!N145="","",'別紙様式2-2（４・５月分）'!N145)</f>
        <v/>
      </c>
      <c r="AW189" s="1305"/>
      <c r="AX189"/>
      <c r="AY189"/>
      <c r="AZ189"/>
      <c r="BA189"/>
      <c r="BB189"/>
      <c r="BC189"/>
      <c r="BD189"/>
      <c r="BE189"/>
      <c r="BF189"/>
      <c r="BG189"/>
      <c r="BH189"/>
      <c r="BI189"/>
      <c r="BJ189"/>
      <c r="BK189" s="452" t="str">
        <f>G186</f>
        <v/>
      </c>
    </row>
    <row r="190" spans="1:63" ht="30" customHeight="1">
      <c r="A190" s="1266">
        <v>45</v>
      </c>
      <c r="B190" s="1232" t="str">
        <f>IF(基本情報入力シート!C98="","",基本情報入力シート!C98)</f>
        <v/>
      </c>
      <c r="C190" s="1233"/>
      <c r="D190" s="1233"/>
      <c r="E190" s="1233"/>
      <c r="F190" s="1234"/>
      <c r="G190" s="1251" t="str">
        <f>IF(基本情報入力シート!M98="","",基本情報入力シート!M98)</f>
        <v/>
      </c>
      <c r="H190" s="1251" t="str">
        <f>IF(基本情報入力シート!R98="","",基本情報入力シート!R98)</f>
        <v/>
      </c>
      <c r="I190" s="1251" t="str">
        <f>IF(基本情報入力シート!W98="","",基本情報入力シート!W98)</f>
        <v/>
      </c>
      <c r="J190" s="1414" t="str">
        <f>IF(基本情報入力シート!X98="","",基本情報入力シート!X98)</f>
        <v/>
      </c>
      <c r="K190" s="1251" t="str">
        <f>IF(基本情報入力シート!Y98="","",基本情報入力シート!Y98)</f>
        <v/>
      </c>
      <c r="L190" s="1275" t="str">
        <f>IF(基本情報入力シート!AB98="","",基本情報入力シート!AB98)</f>
        <v/>
      </c>
      <c r="M190" s="550" t="str">
        <f>IF('別紙様式2-2（４・５月分）'!P146="","",'別紙様式2-2（４・５月分）'!P146)</f>
        <v/>
      </c>
      <c r="N190" s="1391" t="str">
        <f>IF(SUM('別紙様式2-2（４・５月分）'!Q146:Q148)=0,"",SUM('別紙様式2-2（４・５月分）'!Q146:Q148))</f>
        <v/>
      </c>
      <c r="O190" s="1395" t="str">
        <f>IFERROR(VLOOKUP('別紙様式2-2（４・５月分）'!AQ146,【参考】数式用!$AR$5:$AS$22,2,FALSE),"")</f>
        <v/>
      </c>
      <c r="P190" s="1396"/>
      <c r="Q190" s="1397"/>
      <c r="R190" s="1401" t="str">
        <f>IFERROR(VLOOKUP(K190,【参考】数式用!$A$5:$AB$37,MATCH(O190,【参考】数式用!$B$4:$AB$4,0)+1,0),"")</f>
        <v/>
      </c>
      <c r="S190" s="1403" t="s">
        <v>2021</v>
      </c>
      <c r="T190" s="1405"/>
      <c r="U190" s="1407" t="str">
        <f>IFERROR(VLOOKUP(K190,【参考】数式用!$A$5:$AB$37,MATCH(T190,【参考】数式用!$B$4:$AB$4,0)+1,0),"")</f>
        <v/>
      </c>
      <c r="V190" s="1409" t="s">
        <v>15</v>
      </c>
      <c r="W190" s="1347">
        <v>6</v>
      </c>
      <c r="X190" s="1349" t="s">
        <v>10</v>
      </c>
      <c r="Y190" s="1347">
        <v>6</v>
      </c>
      <c r="Z190" s="1349" t="s">
        <v>38</v>
      </c>
      <c r="AA190" s="1347">
        <v>7</v>
      </c>
      <c r="AB190" s="1349" t="s">
        <v>10</v>
      </c>
      <c r="AC190" s="1347">
        <v>3</v>
      </c>
      <c r="AD190" s="1349" t="s">
        <v>13</v>
      </c>
      <c r="AE190" s="1349" t="s">
        <v>20</v>
      </c>
      <c r="AF190" s="1349">
        <f>IF(W190&gt;=1,(AA190*12+AC190)-(W190*12+Y190)+1,"")</f>
        <v>10</v>
      </c>
      <c r="AG190" s="1351" t="s">
        <v>33</v>
      </c>
      <c r="AH190" s="1353" t="str">
        <f t="shared" ref="AH190" si="477">IFERROR(ROUNDDOWN(ROUND(L190*U190,0),0)*AF190,"")</f>
        <v/>
      </c>
      <c r="AI190" s="1355" t="str">
        <f t="shared" ref="AI190" si="478">IFERROR(ROUNDDOWN(ROUND((L190*(U190-AW190)),0),0)*AF190,"")</f>
        <v/>
      </c>
      <c r="AJ190" s="1357">
        <f>IFERROR(IF(OR(M190="",M191="",M193=""),0,ROUNDDOWN(ROUNDDOWN(ROUND(L190*VLOOKUP(K190,【参考】数式用!$A$5:$AB$37,MATCH("新加算Ⅳ",【参考】数式用!$B$4:$AB$4,0)+1,0),0),0)*AF190*0.5,0)),"")</f>
        <v>0</v>
      </c>
      <c r="AK190" s="1341"/>
      <c r="AL190" s="1345">
        <f>IFERROR(IF(OR(M193="ベア加算",M193=""),0, IF(OR(T190="新加算Ⅰ",T190="新加算Ⅱ",T190="新加算Ⅲ",T190="新加算Ⅳ"),ROUNDDOWN(ROUND(L190*VLOOKUP(K190,【参考】数式用!$A$5:$I$37,MATCH("ベア加算",【参考】数式用!$B$4:$I$4,0)+1,0),0),0)*AF190,0)),"")</f>
        <v>0</v>
      </c>
      <c r="AM190" s="1331"/>
      <c r="AN190" s="1337"/>
      <c r="AO190" s="1333"/>
      <c r="AP190" s="1333"/>
      <c r="AQ190" s="1335"/>
      <c r="AR190" s="1315"/>
      <c r="AS190" s="465" t="str">
        <f t="shared" ref="AS190" si="479">IF(AU190="","",IF(U190&lt;N190,"！加算の要件上は問題ありませんが、令和６年４・５月と比較して令和６年６月に加算率が下がる計画になっています。",""))</f>
        <v/>
      </c>
      <c r="AT190" s="554"/>
      <c r="AU190" s="1303" t="str">
        <f>IF(K190&lt;&gt;"","V列に色付け","")</f>
        <v/>
      </c>
      <c r="AV190" s="555" t="str">
        <f>IF('別紙様式2-2（４・５月分）'!N146="","",'別紙様式2-2（４・５月分）'!N146)</f>
        <v/>
      </c>
      <c r="AW190" s="1305" t="str">
        <f>IF(SUM('別紙様式2-2（４・５月分）'!O146:O148)=0,"",SUM('別紙様式2-2（４・５月分）'!O146:O148))</f>
        <v/>
      </c>
      <c r="AX190" s="1306" t="str">
        <f>IFERROR(VLOOKUP(K190,【参考】数式用!$AH$2:$AI$34,2,FALSE),"")</f>
        <v/>
      </c>
      <c r="AY190" s="1222" t="s">
        <v>1959</v>
      </c>
      <c r="AZ190" s="1222" t="s">
        <v>1960</v>
      </c>
      <c r="BA190" s="1222" t="s">
        <v>1961</v>
      </c>
      <c r="BB190" s="1222" t="s">
        <v>1962</v>
      </c>
      <c r="BC190" s="1222" t="str">
        <f>IF(AND(O190&lt;&gt;"新加算Ⅰ",O190&lt;&gt;"新加算Ⅱ",O190&lt;&gt;"新加算Ⅲ",O190&lt;&gt;"新加算Ⅳ"),O190,IF(P192&lt;&gt;"",P192,""))</f>
        <v/>
      </c>
      <c r="BD190" s="1222"/>
      <c r="BE190" s="1222" t="str">
        <f t="shared" ref="BE190" si="480">IF(AL190&lt;&gt;0,IF(AM190="○","入力済","未入力"),"")</f>
        <v/>
      </c>
      <c r="BF190" s="1222"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2" t="str">
        <f>IF(OR(T190="新加算Ⅴ（７）",T190="新加算Ⅴ（９）",T190="新加算Ⅴ（10）",T190="新加算Ⅴ（12）",T190="新加算Ⅴ（13）",T190="新加算Ⅴ（14）"),IF(OR(AO190="○",AO190="令和６年度中に満たす"),"入力済","未入力"),"")</f>
        <v/>
      </c>
      <c r="BH190" s="1323" t="str">
        <f t="shared" ref="BH190" si="481">IF(OR(T190="新加算Ⅰ",T190="新加算Ⅱ",T190="新加算Ⅲ",T190="新加算Ⅴ（１）",T190="新加算Ⅴ（３）",T190="新加算Ⅴ（８）"),IF(OR(AP190="○",AP190="令和６年度中に満たす"),"入力済","未入力"),"")</f>
        <v/>
      </c>
      <c r="BI190" s="1325" t="str">
        <f t="shared" ref="BI190" si="482">IF(OR(T190="新加算Ⅰ",T190="新加算Ⅱ",T190="新加算Ⅴ（１）",T190="新加算Ⅴ（２）",T190="新加算Ⅴ（３）",T190="新加算Ⅴ（４）",T190="新加算Ⅴ（５）",T190="新加算Ⅴ（６）",T190="新加算Ⅴ（７）",T190="新加算Ⅴ（９）",T190="新加算Ⅴ（10）",T190="新加算Ⅴ（12）"),1,"")</f>
        <v/>
      </c>
      <c r="BJ190" s="1303" t="str">
        <f>IF(OR(T190="新加算Ⅰ",T190="新加算Ⅴ（１）",T190="新加算Ⅴ（２）",T190="新加算Ⅴ（５）",T190="新加算Ⅴ（７）",T190="新加算Ⅴ（10）"),IF(AR190="","未入力","入力済"),"")</f>
        <v/>
      </c>
      <c r="BK190" s="452" t="str">
        <f>G190</f>
        <v/>
      </c>
    </row>
    <row r="191" spans="1:63" ht="15" customHeight="1">
      <c r="A191" s="1267"/>
      <c r="B191" s="1235"/>
      <c r="C191" s="1236"/>
      <c r="D191" s="1236"/>
      <c r="E191" s="1236"/>
      <c r="F191" s="1237"/>
      <c r="G191" s="1252"/>
      <c r="H191" s="1252"/>
      <c r="I191" s="1252"/>
      <c r="J191" s="1415"/>
      <c r="K191" s="1252"/>
      <c r="L191" s="1276"/>
      <c r="M191" s="1371" t="str">
        <f>IF('別紙様式2-2（４・５月分）'!P147="","",'別紙様式2-2（４・５月分）'!P147)</f>
        <v/>
      </c>
      <c r="N191" s="1392"/>
      <c r="O191" s="1398"/>
      <c r="P191" s="1399"/>
      <c r="Q191" s="1400"/>
      <c r="R191" s="1402"/>
      <c r="S191" s="1404"/>
      <c r="T191" s="1406"/>
      <c r="U191" s="1408"/>
      <c r="V191" s="1410"/>
      <c r="W191" s="1348"/>
      <c r="X191" s="1350"/>
      <c r="Y191" s="1348"/>
      <c r="Z191" s="1350"/>
      <c r="AA191" s="1348"/>
      <c r="AB191" s="1350"/>
      <c r="AC191" s="1348"/>
      <c r="AD191" s="1350"/>
      <c r="AE191" s="1350"/>
      <c r="AF191" s="1350"/>
      <c r="AG191" s="1352"/>
      <c r="AH191" s="1354"/>
      <c r="AI191" s="1356"/>
      <c r="AJ191" s="1358"/>
      <c r="AK191" s="1342"/>
      <c r="AL191" s="1346"/>
      <c r="AM191" s="1332"/>
      <c r="AN191" s="1338"/>
      <c r="AO191" s="1334"/>
      <c r="AP191" s="1334"/>
      <c r="AQ191" s="1336"/>
      <c r="AR191" s="1316"/>
      <c r="AS191" s="1302"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4"/>
      <c r="AU191" s="1303"/>
      <c r="AV191" s="1304" t="str">
        <f>IF('別紙様式2-2（４・５月分）'!N147="","",'別紙様式2-2（４・５月分）'!N147)</f>
        <v/>
      </c>
      <c r="AW191" s="1305"/>
      <c r="AX191" s="1306"/>
      <c r="AY191" s="1222"/>
      <c r="AZ191" s="1222"/>
      <c r="BA191" s="1222"/>
      <c r="BB191" s="1222"/>
      <c r="BC191" s="1222"/>
      <c r="BD191" s="1222"/>
      <c r="BE191" s="1222"/>
      <c r="BF191" s="1222"/>
      <c r="BG191" s="1222"/>
      <c r="BH191" s="1324"/>
      <c r="BI191" s="1326"/>
      <c r="BJ191" s="1303"/>
      <c r="BK191" s="452" t="str">
        <f>G190</f>
        <v/>
      </c>
    </row>
    <row r="192" spans="1:63" ht="15" customHeight="1">
      <c r="A192" s="1295"/>
      <c r="B192" s="1235"/>
      <c r="C192" s="1236"/>
      <c r="D192" s="1236"/>
      <c r="E192" s="1236"/>
      <c r="F192" s="1237"/>
      <c r="G192" s="1252"/>
      <c r="H192" s="1252"/>
      <c r="I192" s="1252"/>
      <c r="J192" s="1415"/>
      <c r="K192" s="1252"/>
      <c r="L192" s="1276"/>
      <c r="M192" s="1372"/>
      <c r="N192" s="1393"/>
      <c r="O192" s="1373" t="s">
        <v>2025</v>
      </c>
      <c r="P192" s="1375" t="str">
        <f>IFERROR(VLOOKUP('別紙様式2-2（４・５月分）'!AQ146,【参考】数式用!$AR$5:$AT$22,3,FALSE),"")</f>
        <v/>
      </c>
      <c r="Q192" s="1377" t="s">
        <v>2036</v>
      </c>
      <c r="R192" s="1379" t="str">
        <f>IFERROR(VLOOKUP(K190,【参考】数式用!$A$5:$AB$37,MATCH(P192,【参考】数式用!$B$4:$AB$4,0)+1,0),"")</f>
        <v/>
      </c>
      <c r="S192" s="1381" t="s">
        <v>161</v>
      </c>
      <c r="T192" s="1383"/>
      <c r="U192" s="1385" t="str">
        <f>IFERROR(VLOOKUP(K190,【参考】数式用!$A$5:$AB$37,MATCH(T192,【参考】数式用!$B$4:$AB$4,0)+1,0),"")</f>
        <v/>
      </c>
      <c r="V192" s="1387" t="s">
        <v>15</v>
      </c>
      <c r="W192" s="1389">
        <v>7</v>
      </c>
      <c r="X192" s="1363" t="s">
        <v>10</v>
      </c>
      <c r="Y192" s="1389">
        <v>4</v>
      </c>
      <c r="Z192" s="1363" t="s">
        <v>38</v>
      </c>
      <c r="AA192" s="1389">
        <v>8</v>
      </c>
      <c r="AB192" s="1363" t="s">
        <v>10</v>
      </c>
      <c r="AC192" s="1389">
        <v>3</v>
      </c>
      <c r="AD192" s="1363" t="s">
        <v>13</v>
      </c>
      <c r="AE192" s="1363" t="s">
        <v>20</v>
      </c>
      <c r="AF192" s="1363">
        <f>IF(W192&gt;=1,(AA192*12+AC192)-(W192*12+Y192)+1,"")</f>
        <v>12</v>
      </c>
      <c r="AG192" s="1359" t="s">
        <v>33</v>
      </c>
      <c r="AH192" s="1365" t="str">
        <f t="shared" ref="AH192" si="484">IFERROR(ROUNDDOWN(ROUND(L190*U192,0),0)*AF192,"")</f>
        <v/>
      </c>
      <c r="AI192" s="1367" t="str">
        <f t="shared" ref="AI192" si="485">IFERROR(ROUNDDOWN(ROUND((L190*(U192-AW190)),0),0)*AF192,"")</f>
        <v/>
      </c>
      <c r="AJ192" s="1369">
        <f>IFERROR(IF(OR(M190="",M191="",M193=""),0,ROUNDDOWN(ROUNDDOWN(ROUND(L190*VLOOKUP(K190,【参考】数式用!$A$5:$AB$37,MATCH("新加算Ⅳ",【参考】数式用!$B$4:$AB$4,0)+1,0),0),0)*AF192*0.5,0)),"")</f>
        <v>0</v>
      </c>
      <c r="AK192" s="1339" t="str">
        <f t="shared" ref="AK192" si="486">IF(T192&lt;&gt;"","新規に適用","")</f>
        <v/>
      </c>
      <c r="AL192" s="1343">
        <f>IFERROR(IF(OR(M193="ベア加算",M193=""),0, IF(OR(T190="新加算Ⅰ",T190="新加算Ⅱ",T190="新加算Ⅲ",T190="新加算Ⅳ"),0,ROUNDDOWN(ROUND(L190*VLOOKUP(K190,【参考】数式用!$A$5:$I$37,MATCH("ベア加算",【参考】数式用!$B$4:$I$4,0)+1,0),0),0)*AF192)),"")</f>
        <v>0</v>
      </c>
      <c r="AM192" s="1313" t="str">
        <f>IF(AND(T192&lt;&gt;"",AM190=""),"新規に適用",IF(AND(T192&lt;&gt;"",AM190&lt;&gt;""),"継続で適用",""))</f>
        <v/>
      </c>
      <c r="AN192" s="1313" t="str">
        <f>IF(AND(T192&lt;&gt;"",AN190=""),"新規に適用",IF(AND(T192&lt;&gt;"",AN190&lt;&gt;""),"継続で適用",""))</f>
        <v/>
      </c>
      <c r="AO192" s="1361"/>
      <c r="AP192" s="1313" t="str">
        <f>IF(AND(T192&lt;&gt;"",AP190=""),"新規に適用",IF(AND(T192&lt;&gt;"",AP190&lt;&gt;""),"継続で適用",""))</f>
        <v/>
      </c>
      <c r="AQ192" s="1317" t="str">
        <f t="shared" si="420"/>
        <v/>
      </c>
      <c r="AR192" s="1313" t="str">
        <f>IF(AND(T192&lt;&gt;"",AR190=""),"新規に適用",IF(AND(T192&lt;&gt;"",AR190&lt;&gt;""),"継続で適用",""))</f>
        <v/>
      </c>
      <c r="AS192" s="1302"/>
      <c r="AT192" s="554"/>
      <c r="AU192" s="1303" t="str">
        <f>IF(K190&lt;&gt;"","V列に色付け","")</f>
        <v/>
      </c>
      <c r="AV192" s="1304"/>
      <c r="AW192" s="1305"/>
      <c r="AX192"/>
      <c r="AY192"/>
      <c r="AZ192"/>
      <c r="BA192"/>
      <c r="BB192"/>
      <c r="BC192"/>
      <c r="BD192"/>
      <c r="BE192"/>
      <c r="BF192"/>
      <c r="BG192"/>
      <c r="BH192"/>
      <c r="BI192"/>
      <c r="BJ192"/>
      <c r="BK192" s="452" t="str">
        <f>G190</f>
        <v/>
      </c>
    </row>
    <row r="193" spans="1:63" ht="30" customHeight="1" thickBot="1">
      <c r="A193" s="1268"/>
      <c r="B193" s="1411"/>
      <c r="C193" s="1412"/>
      <c r="D193" s="1412"/>
      <c r="E193" s="1412"/>
      <c r="F193" s="1413"/>
      <c r="G193" s="1253"/>
      <c r="H193" s="1253"/>
      <c r="I193" s="1253"/>
      <c r="J193" s="1416"/>
      <c r="K193" s="1253"/>
      <c r="L193" s="1277"/>
      <c r="M193" s="553" t="str">
        <f>IF('別紙様式2-2（４・５月分）'!P148="","",'別紙様式2-2（４・５月分）'!P148)</f>
        <v/>
      </c>
      <c r="N193" s="1394"/>
      <c r="O193" s="1374"/>
      <c r="P193" s="1376"/>
      <c r="Q193" s="1378"/>
      <c r="R193" s="1380"/>
      <c r="S193" s="1382"/>
      <c r="T193" s="1384"/>
      <c r="U193" s="1386"/>
      <c r="V193" s="1388"/>
      <c r="W193" s="1390"/>
      <c r="X193" s="1364"/>
      <c r="Y193" s="1390"/>
      <c r="Z193" s="1364"/>
      <c r="AA193" s="1390"/>
      <c r="AB193" s="1364"/>
      <c r="AC193" s="1390"/>
      <c r="AD193" s="1364"/>
      <c r="AE193" s="1364"/>
      <c r="AF193" s="1364"/>
      <c r="AG193" s="1360"/>
      <c r="AH193" s="1366"/>
      <c r="AI193" s="1368"/>
      <c r="AJ193" s="1370"/>
      <c r="AK193" s="1340"/>
      <c r="AL193" s="1344"/>
      <c r="AM193" s="1314"/>
      <c r="AN193" s="1314"/>
      <c r="AO193" s="1362"/>
      <c r="AP193" s="1314"/>
      <c r="AQ193" s="1318"/>
      <c r="AR193" s="1314"/>
      <c r="AS193" s="490"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4"/>
      <c r="AU193" s="1303"/>
      <c r="AV193" s="555" t="str">
        <f>IF('別紙様式2-2（４・５月分）'!N148="","",'別紙様式2-2（４・５月分）'!N148)</f>
        <v/>
      </c>
      <c r="AW193" s="1305"/>
      <c r="AX193"/>
      <c r="AY193"/>
      <c r="AZ193"/>
      <c r="BA193"/>
      <c r="BB193"/>
      <c r="BC193"/>
      <c r="BD193"/>
      <c r="BE193"/>
      <c r="BF193"/>
      <c r="BG193"/>
      <c r="BH193"/>
      <c r="BI193"/>
      <c r="BJ193"/>
      <c r="BK193" s="452" t="str">
        <f>G190</f>
        <v/>
      </c>
    </row>
    <row r="194" spans="1:63" ht="30" customHeight="1">
      <c r="A194" s="1293">
        <v>46</v>
      </c>
      <c r="B194" s="1235" t="str">
        <f>IF(基本情報入力シート!C99="","",基本情報入力シート!C99)</f>
        <v/>
      </c>
      <c r="C194" s="1236"/>
      <c r="D194" s="1236"/>
      <c r="E194" s="1236"/>
      <c r="F194" s="1237"/>
      <c r="G194" s="1252" t="str">
        <f>IF(基本情報入力シート!M99="","",基本情報入力シート!M99)</f>
        <v/>
      </c>
      <c r="H194" s="1252" t="str">
        <f>IF(基本情報入力シート!R99="","",基本情報入力シート!R99)</f>
        <v/>
      </c>
      <c r="I194" s="1252" t="str">
        <f>IF(基本情報入力シート!W99="","",基本情報入力シート!W99)</f>
        <v/>
      </c>
      <c r="J194" s="1415" t="str">
        <f>IF(基本情報入力シート!X99="","",基本情報入力シート!X99)</f>
        <v/>
      </c>
      <c r="K194" s="1252" t="str">
        <f>IF(基本情報入力シート!Y99="","",基本情報入力シート!Y99)</f>
        <v/>
      </c>
      <c r="L194" s="1276" t="str">
        <f>IF(基本情報入力シート!AB99="","",基本情報入力シート!AB99)</f>
        <v/>
      </c>
      <c r="M194" s="550" t="str">
        <f>IF('別紙様式2-2（４・５月分）'!P149="","",'別紙様式2-2（４・５月分）'!P149)</f>
        <v/>
      </c>
      <c r="N194" s="1391" t="str">
        <f>IF(SUM('別紙様式2-2（４・５月分）'!Q149:Q151)=0,"",SUM('別紙様式2-2（４・５月分）'!Q149:Q151))</f>
        <v/>
      </c>
      <c r="O194" s="1395" t="str">
        <f>IFERROR(VLOOKUP('別紙様式2-2（４・５月分）'!AQ149,【参考】数式用!$AR$5:$AS$22,2,FALSE),"")</f>
        <v/>
      </c>
      <c r="P194" s="1396"/>
      <c r="Q194" s="1397"/>
      <c r="R194" s="1401" t="str">
        <f>IFERROR(VLOOKUP(K194,【参考】数式用!$A$5:$AB$37,MATCH(O194,【参考】数式用!$B$4:$AB$4,0)+1,0),"")</f>
        <v/>
      </c>
      <c r="S194" s="1403" t="s">
        <v>2021</v>
      </c>
      <c r="T194" s="1405"/>
      <c r="U194" s="1407" t="str">
        <f>IFERROR(VLOOKUP(K194,【参考】数式用!$A$5:$AB$37,MATCH(T194,【参考】数式用!$B$4:$AB$4,0)+1,0),"")</f>
        <v/>
      </c>
      <c r="V194" s="1409" t="s">
        <v>15</v>
      </c>
      <c r="W194" s="1347">
        <v>6</v>
      </c>
      <c r="X194" s="1349" t="s">
        <v>10</v>
      </c>
      <c r="Y194" s="1347">
        <v>6</v>
      </c>
      <c r="Z194" s="1349" t="s">
        <v>38</v>
      </c>
      <c r="AA194" s="1347">
        <v>7</v>
      </c>
      <c r="AB194" s="1349" t="s">
        <v>10</v>
      </c>
      <c r="AC194" s="1347">
        <v>3</v>
      </c>
      <c r="AD194" s="1349" t="s">
        <v>13</v>
      </c>
      <c r="AE194" s="1349" t="s">
        <v>20</v>
      </c>
      <c r="AF194" s="1349">
        <f>IF(W194&gt;=1,(AA194*12+AC194)-(W194*12+Y194)+1,"")</f>
        <v>10</v>
      </c>
      <c r="AG194" s="1351" t="s">
        <v>33</v>
      </c>
      <c r="AH194" s="1353" t="str">
        <f t="shared" ref="AH194" si="488">IFERROR(ROUNDDOWN(ROUND(L194*U194,0),0)*AF194,"")</f>
        <v/>
      </c>
      <c r="AI194" s="1355" t="str">
        <f t="shared" ref="AI194" si="489">IFERROR(ROUNDDOWN(ROUND((L194*(U194-AW194)),0),0)*AF194,"")</f>
        <v/>
      </c>
      <c r="AJ194" s="1357">
        <f>IFERROR(IF(OR(M194="",M195="",M197=""),0,ROUNDDOWN(ROUNDDOWN(ROUND(L194*VLOOKUP(K194,【参考】数式用!$A$5:$AB$37,MATCH("新加算Ⅳ",【参考】数式用!$B$4:$AB$4,0)+1,0),0),0)*AF194*0.5,0)),"")</f>
        <v>0</v>
      </c>
      <c r="AK194" s="1341"/>
      <c r="AL194" s="1345">
        <f>IFERROR(IF(OR(M197="ベア加算",M197=""),0, IF(OR(T194="新加算Ⅰ",T194="新加算Ⅱ",T194="新加算Ⅲ",T194="新加算Ⅳ"),ROUNDDOWN(ROUND(L194*VLOOKUP(K194,【参考】数式用!$A$5:$I$37,MATCH("ベア加算",【参考】数式用!$B$4:$I$4,0)+1,0),0),0)*AF194,0)),"")</f>
        <v>0</v>
      </c>
      <c r="AM194" s="1331"/>
      <c r="AN194" s="1337"/>
      <c r="AO194" s="1333"/>
      <c r="AP194" s="1333"/>
      <c r="AQ194" s="1335"/>
      <c r="AR194" s="1315"/>
      <c r="AS194" s="465" t="str">
        <f t="shared" ref="AS194" si="490">IF(AU194="","",IF(U194&lt;N194,"！加算の要件上は問題ありませんが、令和６年４・５月と比較して令和６年６月に加算率が下がる計画になっています。",""))</f>
        <v/>
      </c>
      <c r="AT194" s="554"/>
      <c r="AU194" s="1303" t="str">
        <f>IF(K194&lt;&gt;"","V列に色付け","")</f>
        <v/>
      </c>
      <c r="AV194" s="555" t="str">
        <f>IF('別紙様式2-2（４・５月分）'!N149="","",'別紙様式2-2（４・５月分）'!N149)</f>
        <v/>
      </c>
      <c r="AW194" s="1305" t="str">
        <f>IF(SUM('別紙様式2-2（４・５月分）'!O149:O151)=0,"",SUM('別紙様式2-2（４・５月分）'!O149:O151))</f>
        <v/>
      </c>
      <c r="AX194" s="1306" t="str">
        <f>IFERROR(VLOOKUP(K194,【参考】数式用!$AH$2:$AI$34,2,FALSE),"")</f>
        <v/>
      </c>
      <c r="AY194" s="1222" t="s">
        <v>1959</v>
      </c>
      <c r="AZ194" s="1222" t="s">
        <v>1960</v>
      </c>
      <c r="BA194" s="1222" t="s">
        <v>1961</v>
      </c>
      <c r="BB194" s="1222" t="s">
        <v>1962</v>
      </c>
      <c r="BC194" s="1222" t="str">
        <f>IF(AND(O194&lt;&gt;"新加算Ⅰ",O194&lt;&gt;"新加算Ⅱ",O194&lt;&gt;"新加算Ⅲ",O194&lt;&gt;"新加算Ⅳ"),O194,IF(P196&lt;&gt;"",P196,""))</f>
        <v/>
      </c>
      <c r="BD194" s="1222"/>
      <c r="BE194" s="1222" t="str">
        <f t="shared" ref="BE194" si="491">IF(AL194&lt;&gt;0,IF(AM194="○","入力済","未入力"),"")</f>
        <v/>
      </c>
      <c r="BF194" s="1222"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2" t="str">
        <f>IF(OR(T194="新加算Ⅴ（７）",T194="新加算Ⅴ（９）",T194="新加算Ⅴ（10）",T194="新加算Ⅴ（12）",T194="新加算Ⅴ（13）",T194="新加算Ⅴ（14）"),IF(OR(AO194="○",AO194="令和６年度中に満たす"),"入力済","未入力"),"")</f>
        <v/>
      </c>
      <c r="BH194" s="1323" t="str">
        <f t="shared" ref="BH194" si="492">IF(OR(T194="新加算Ⅰ",T194="新加算Ⅱ",T194="新加算Ⅲ",T194="新加算Ⅴ（１）",T194="新加算Ⅴ（３）",T194="新加算Ⅴ（８）"),IF(OR(AP194="○",AP194="令和６年度中に満たす"),"入力済","未入力"),"")</f>
        <v/>
      </c>
      <c r="BI194" s="1325" t="str">
        <f t="shared" ref="BI194" si="493">IF(OR(T194="新加算Ⅰ",T194="新加算Ⅱ",T194="新加算Ⅴ（１）",T194="新加算Ⅴ（２）",T194="新加算Ⅴ（３）",T194="新加算Ⅴ（４）",T194="新加算Ⅴ（５）",T194="新加算Ⅴ（６）",T194="新加算Ⅴ（７）",T194="新加算Ⅴ（９）",T194="新加算Ⅴ（10）",T194="新加算Ⅴ（12）"),1,"")</f>
        <v/>
      </c>
      <c r="BJ194" s="1303" t="str">
        <f>IF(OR(T194="新加算Ⅰ",T194="新加算Ⅴ（１）",T194="新加算Ⅴ（２）",T194="新加算Ⅴ（５）",T194="新加算Ⅴ（７）",T194="新加算Ⅴ（10）"),IF(AR194="","未入力","入力済"),"")</f>
        <v/>
      </c>
      <c r="BK194" s="452" t="str">
        <f>G194</f>
        <v/>
      </c>
    </row>
    <row r="195" spans="1:63" ht="15" customHeight="1">
      <c r="A195" s="1267"/>
      <c r="B195" s="1235"/>
      <c r="C195" s="1236"/>
      <c r="D195" s="1236"/>
      <c r="E195" s="1236"/>
      <c r="F195" s="1237"/>
      <c r="G195" s="1252"/>
      <c r="H195" s="1252"/>
      <c r="I195" s="1252"/>
      <c r="J195" s="1415"/>
      <c r="K195" s="1252"/>
      <c r="L195" s="1276"/>
      <c r="M195" s="1371" t="str">
        <f>IF('別紙様式2-2（４・５月分）'!P150="","",'別紙様式2-2（４・５月分）'!P150)</f>
        <v/>
      </c>
      <c r="N195" s="1392"/>
      <c r="O195" s="1398"/>
      <c r="P195" s="1399"/>
      <c r="Q195" s="1400"/>
      <c r="R195" s="1402"/>
      <c r="S195" s="1404"/>
      <c r="T195" s="1406"/>
      <c r="U195" s="1408"/>
      <c r="V195" s="1410"/>
      <c r="W195" s="1348"/>
      <c r="X195" s="1350"/>
      <c r="Y195" s="1348"/>
      <c r="Z195" s="1350"/>
      <c r="AA195" s="1348"/>
      <c r="AB195" s="1350"/>
      <c r="AC195" s="1348"/>
      <c r="AD195" s="1350"/>
      <c r="AE195" s="1350"/>
      <c r="AF195" s="1350"/>
      <c r="AG195" s="1352"/>
      <c r="AH195" s="1354"/>
      <c r="AI195" s="1356"/>
      <c r="AJ195" s="1358"/>
      <c r="AK195" s="1342"/>
      <c r="AL195" s="1346"/>
      <c r="AM195" s="1332"/>
      <c r="AN195" s="1338"/>
      <c r="AO195" s="1334"/>
      <c r="AP195" s="1334"/>
      <c r="AQ195" s="1336"/>
      <c r="AR195" s="1316"/>
      <c r="AS195" s="1302"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4"/>
      <c r="AU195" s="1303"/>
      <c r="AV195" s="1304" t="str">
        <f>IF('別紙様式2-2（４・５月分）'!N150="","",'別紙様式2-2（４・５月分）'!N150)</f>
        <v/>
      </c>
      <c r="AW195" s="1305"/>
      <c r="AX195" s="1306"/>
      <c r="AY195" s="1222"/>
      <c r="AZ195" s="1222"/>
      <c r="BA195" s="1222"/>
      <c r="BB195" s="1222"/>
      <c r="BC195" s="1222"/>
      <c r="BD195" s="1222"/>
      <c r="BE195" s="1222"/>
      <c r="BF195" s="1222"/>
      <c r="BG195" s="1222"/>
      <c r="BH195" s="1324"/>
      <c r="BI195" s="1326"/>
      <c r="BJ195" s="1303"/>
      <c r="BK195" s="452" t="str">
        <f>G194</f>
        <v/>
      </c>
    </row>
    <row r="196" spans="1:63" ht="15" customHeight="1">
      <c r="A196" s="1295"/>
      <c r="B196" s="1235"/>
      <c r="C196" s="1236"/>
      <c r="D196" s="1236"/>
      <c r="E196" s="1236"/>
      <c r="F196" s="1237"/>
      <c r="G196" s="1252"/>
      <c r="H196" s="1252"/>
      <c r="I196" s="1252"/>
      <c r="J196" s="1415"/>
      <c r="K196" s="1252"/>
      <c r="L196" s="1276"/>
      <c r="M196" s="1372"/>
      <c r="N196" s="1393"/>
      <c r="O196" s="1373" t="s">
        <v>2025</v>
      </c>
      <c r="P196" s="1375" t="str">
        <f>IFERROR(VLOOKUP('別紙様式2-2（４・５月分）'!AQ149,【参考】数式用!$AR$5:$AT$22,3,FALSE),"")</f>
        <v/>
      </c>
      <c r="Q196" s="1377" t="s">
        <v>2036</v>
      </c>
      <c r="R196" s="1379" t="str">
        <f>IFERROR(VLOOKUP(K194,【参考】数式用!$A$5:$AB$37,MATCH(P196,【参考】数式用!$B$4:$AB$4,0)+1,0),"")</f>
        <v/>
      </c>
      <c r="S196" s="1381" t="s">
        <v>161</v>
      </c>
      <c r="T196" s="1383"/>
      <c r="U196" s="1385" t="str">
        <f>IFERROR(VLOOKUP(K194,【参考】数式用!$A$5:$AB$37,MATCH(T196,【参考】数式用!$B$4:$AB$4,0)+1,0),"")</f>
        <v/>
      </c>
      <c r="V196" s="1387" t="s">
        <v>15</v>
      </c>
      <c r="W196" s="1389">
        <v>7</v>
      </c>
      <c r="X196" s="1363" t="s">
        <v>10</v>
      </c>
      <c r="Y196" s="1389">
        <v>4</v>
      </c>
      <c r="Z196" s="1363" t="s">
        <v>38</v>
      </c>
      <c r="AA196" s="1389">
        <v>8</v>
      </c>
      <c r="AB196" s="1363" t="s">
        <v>10</v>
      </c>
      <c r="AC196" s="1389">
        <v>3</v>
      </c>
      <c r="AD196" s="1363" t="s">
        <v>13</v>
      </c>
      <c r="AE196" s="1363" t="s">
        <v>20</v>
      </c>
      <c r="AF196" s="1363">
        <f>IF(W196&gt;=1,(AA196*12+AC196)-(W196*12+Y196)+1,"")</f>
        <v>12</v>
      </c>
      <c r="AG196" s="1359" t="s">
        <v>33</v>
      </c>
      <c r="AH196" s="1365" t="str">
        <f t="shared" ref="AH196" si="495">IFERROR(ROUNDDOWN(ROUND(L194*U196,0),0)*AF196,"")</f>
        <v/>
      </c>
      <c r="AI196" s="1367" t="str">
        <f t="shared" ref="AI196" si="496">IFERROR(ROUNDDOWN(ROUND((L194*(U196-AW194)),0),0)*AF196,"")</f>
        <v/>
      </c>
      <c r="AJ196" s="1369">
        <f>IFERROR(IF(OR(M194="",M195="",M197=""),0,ROUNDDOWN(ROUNDDOWN(ROUND(L194*VLOOKUP(K194,【参考】数式用!$A$5:$AB$37,MATCH("新加算Ⅳ",【参考】数式用!$B$4:$AB$4,0)+1,0),0),0)*AF196*0.5,0)),"")</f>
        <v>0</v>
      </c>
      <c r="AK196" s="1339" t="str">
        <f t="shared" ref="AK196" si="497">IF(T196&lt;&gt;"","新規に適用","")</f>
        <v/>
      </c>
      <c r="AL196" s="1343">
        <f>IFERROR(IF(OR(M197="ベア加算",M197=""),0, IF(OR(T194="新加算Ⅰ",T194="新加算Ⅱ",T194="新加算Ⅲ",T194="新加算Ⅳ"),0,ROUNDDOWN(ROUND(L194*VLOOKUP(K194,【参考】数式用!$A$5:$I$37,MATCH("ベア加算",【参考】数式用!$B$4:$I$4,0)+1,0),0),0)*AF196)),"")</f>
        <v>0</v>
      </c>
      <c r="AM196" s="1313" t="str">
        <f>IF(AND(T196&lt;&gt;"",AM194=""),"新規に適用",IF(AND(T196&lt;&gt;"",AM194&lt;&gt;""),"継続で適用",""))</f>
        <v/>
      </c>
      <c r="AN196" s="1313" t="str">
        <f>IF(AND(T196&lt;&gt;"",AN194=""),"新規に適用",IF(AND(T196&lt;&gt;"",AN194&lt;&gt;""),"継続で適用",""))</f>
        <v/>
      </c>
      <c r="AO196" s="1361"/>
      <c r="AP196" s="1313" t="str">
        <f>IF(AND(T196&lt;&gt;"",AP194=""),"新規に適用",IF(AND(T196&lt;&gt;"",AP194&lt;&gt;""),"継続で適用",""))</f>
        <v/>
      </c>
      <c r="AQ196" s="1317" t="str">
        <f t="shared" si="420"/>
        <v/>
      </c>
      <c r="AR196" s="1313" t="str">
        <f>IF(AND(T196&lt;&gt;"",AR194=""),"新規に適用",IF(AND(T196&lt;&gt;"",AR194&lt;&gt;""),"継続で適用",""))</f>
        <v/>
      </c>
      <c r="AS196" s="1302"/>
      <c r="AT196" s="554"/>
      <c r="AU196" s="1303" t="str">
        <f>IF(K194&lt;&gt;"","V列に色付け","")</f>
        <v/>
      </c>
      <c r="AV196" s="1304"/>
      <c r="AW196" s="1305"/>
      <c r="AX196"/>
      <c r="AY196"/>
      <c r="AZ196"/>
      <c r="BA196"/>
      <c r="BB196"/>
      <c r="BC196"/>
      <c r="BD196"/>
      <c r="BE196"/>
      <c r="BF196"/>
      <c r="BG196"/>
      <c r="BH196"/>
      <c r="BI196"/>
      <c r="BJ196"/>
      <c r="BK196" s="452" t="str">
        <f>G194</f>
        <v/>
      </c>
    </row>
    <row r="197" spans="1:63" ht="30" customHeight="1" thickBot="1">
      <c r="A197" s="1268"/>
      <c r="B197" s="1411"/>
      <c r="C197" s="1412"/>
      <c r="D197" s="1412"/>
      <c r="E197" s="1412"/>
      <c r="F197" s="1413"/>
      <c r="G197" s="1253"/>
      <c r="H197" s="1253"/>
      <c r="I197" s="1253"/>
      <c r="J197" s="1416"/>
      <c r="K197" s="1253"/>
      <c r="L197" s="1277"/>
      <c r="M197" s="553" t="str">
        <f>IF('別紙様式2-2（４・５月分）'!P151="","",'別紙様式2-2（４・５月分）'!P151)</f>
        <v/>
      </c>
      <c r="N197" s="1394"/>
      <c r="O197" s="1374"/>
      <c r="P197" s="1376"/>
      <c r="Q197" s="1378"/>
      <c r="R197" s="1380"/>
      <c r="S197" s="1382"/>
      <c r="T197" s="1384"/>
      <c r="U197" s="1386"/>
      <c r="V197" s="1388"/>
      <c r="W197" s="1390"/>
      <c r="X197" s="1364"/>
      <c r="Y197" s="1390"/>
      <c r="Z197" s="1364"/>
      <c r="AA197" s="1390"/>
      <c r="AB197" s="1364"/>
      <c r="AC197" s="1390"/>
      <c r="AD197" s="1364"/>
      <c r="AE197" s="1364"/>
      <c r="AF197" s="1364"/>
      <c r="AG197" s="1360"/>
      <c r="AH197" s="1366"/>
      <c r="AI197" s="1368"/>
      <c r="AJ197" s="1370"/>
      <c r="AK197" s="1340"/>
      <c r="AL197" s="1344"/>
      <c r="AM197" s="1314"/>
      <c r="AN197" s="1314"/>
      <c r="AO197" s="1362"/>
      <c r="AP197" s="1314"/>
      <c r="AQ197" s="1318"/>
      <c r="AR197" s="1314"/>
      <c r="AS197" s="490"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4"/>
      <c r="AU197" s="1303"/>
      <c r="AV197" s="555" t="str">
        <f>IF('別紙様式2-2（４・５月分）'!N151="","",'別紙様式2-2（４・５月分）'!N151)</f>
        <v/>
      </c>
      <c r="AW197" s="1305"/>
      <c r="AX197"/>
      <c r="AY197"/>
      <c r="AZ197"/>
      <c r="BA197"/>
      <c r="BB197"/>
      <c r="BC197"/>
      <c r="BD197"/>
      <c r="BE197"/>
      <c r="BF197"/>
      <c r="BG197"/>
      <c r="BH197"/>
      <c r="BI197"/>
      <c r="BJ197"/>
      <c r="BK197" s="452" t="str">
        <f>G194</f>
        <v/>
      </c>
    </row>
    <row r="198" spans="1:63" ht="30" customHeight="1">
      <c r="A198" s="1266">
        <v>47</v>
      </c>
      <c r="B198" s="1232" t="str">
        <f>IF(基本情報入力シート!C100="","",基本情報入力シート!C100)</f>
        <v/>
      </c>
      <c r="C198" s="1233"/>
      <c r="D198" s="1233"/>
      <c r="E198" s="1233"/>
      <c r="F198" s="1234"/>
      <c r="G198" s="1251" t="str">
        <f>IF(基本情報入力シート!M100="","",基本情報入力シート!M100)</f>
        <v/>
      </c>
      <c r="H198" s="1251" t="str">
        <f>IF(基本情報入力シート!R100="","",基本情報入力シート!R100)</f>
        <v/>
      </c>
      <c r="I198" s="1251" t="str">
        <f>IF(基本情報入力シート!W100="","",基本情報入力シート!W100)</f>
        <v/>
      </c>
      <c r="J198" s="1414" t="str">
        <f>IF(基本情報入力シート!X100="","",基本情報入力シート!X100)</f>
        <v/>
      </c>
      <c r="K198" s="1251" t="str">
        <f>IF(基本情報入力シート!Y100="","",基本情報入力シート!Y100)</f>
        <v/>
      </c>
      <c r="L198" s="1275" t="str">
        <f>IF(基本情報入力シート!AB100="","",基本情報入力シート!AB100)</f>
        <v/>
      </c>
      <c r="M198" s="550" t="str">
        <f>IF('別紙様式2-2（４・５月分）'!P152="","",'別紙様式2-2（４・５月分）'!P152)</f>
        <v/>
      </c>
      <c r="N198" s="1391" t="str">
        <f>IF(SUM('別紙様式2-2（４・５月分）'!Q152:Q154)=0,"",SUM('別紙様式2-2（４・５月分）'!Q152:Q154))</f>
        <v/>
      </c>
      <c r="O198" s="1395" t="str">
        <f>IFERROR(VLOOKUP('別紙様式2-2（４・５月分）'!AQ152,【参考】数式用!$AR$5:$AS$22,2,FALSE),"")</f>
        <v/>
      </c>
      <c r="P198" s="1396"/>
      <c r="Q198" s="1397"/>
      <c r="R198" s="1401" t="str">
        <f>IFERROR(VLOOKUP(K198,【参考】数式用!$A$5:$AB$37,MATCH(O198,【参考】数式用!$B$4:$AB$4,0)+1,0),"")</f>
        <v/>
      </c>
      <c r="S198" s="1403" t="s">
        <v>2021</v>
      </c>
      <c r="T198" s="1405"/>
      <c r="U198" s="1407" t="str">
        <f>IFERROR(VLOOKUP(K198,【参考】数式用!$A$5:$AB$37,MATCH(T198,【参考】数式用!$B$4:$AB$4,0)+1,0),"")</f>
        <v/>
      </c>
      <c r="V198" s="1409" t="s">
        <v>15</v>
      </c>
      <c r="W198" s="1347">
        <v>6</v>
      </c>
      <c r="X198" s="1349" t="s">
        <v>10</v>
      </c>
      <c r="Y198" s="1347">
        <v>6</v>
      </c>
      <c r="Z198" s="1349" t="s">
        <v>38</v>
      </c>
      <c r="AA198" s="1347">
        <v>7</v>
      </c>
      <c r="AB198" s="1349" t="s">
        <v>10</v>
      </c>
      <c r="AC198" s="1347">
        <v>3</v>
      </c>
      <c r="AD198" s="1349" t="s">
        <v>13</v>
      </c>
      <c r="AE198" s="1349" t="s">
        <v>20</v>
      </c>
      <c r="AF198" s="1349">
        <f>IF(W198&gt;=1,(AA198*12+AC198)-(W198*12+Y198)+1,"")</f>
        <v>10</v>
      </c>
      <c r="AG198" s="1351" t="s">
        <v>33</v>
      </c>
      <c r="AH198" s="1353" t="str">
        <f t="shared" ref="AH198" si="499">IFERROR(ROUNDDOWN(ROUND(L198*U198,0),0)*AF198,"")</f>
        <v/>
      </c>
      <c r="AI198" s="1355" t="str">
        <f t="shared" ref="AI198" si="500">IFERROR(ROUNDDOWN(ROUND((L198*(U198-AW198)),0),0)*AF198,"")</f>
        <v/>
      </c>
      <c r="AJ198" s="1357">
        <f>IFERROR(IF(OR(M198="",M199="",M201=""),0,ROUNDDOWN(ROUNDDOWN(ROUND(L198*VLOOKUP(K198,【参考】数式用!$A$5:$AB$37,MATCH("新加算Ⅳ",【参考】数式用!$B$4:$AB$4,0)+1,0),0),0)*AF198*0.5,0)),"")</f>
        <v>0</v>
      </c>
      <c r="AK198" s="1341"/>
      <c r="AL198" s="1345">
        <f>IFERROR(IF(OR(M201="ベア加算",M201=""),0, IF(OR(T198="新加算Ⅰ",T198="新加算Ⅱ",T198="新加算Ⅲ",T198="新加算Ⅳ"),ROUNDDOWN(ROUND(L198*VLOOKUP(K198,【参考】数式用!$A$5:$I$37,MATCH("ベア加算",【参考】数式用!$B$4:$I$4,0)+1,0),0),0)*AF198,0)),"")</f>
        <v>0</v>
      </c>
      <c r="AM198" s="1331"/>
      <c r="AN198" s="1337"/>
      <c r="AO198" s="1333"/>
      <c r="AP198" s="1333"/>
      <c r="AQ198" s="1335"/>
      <c r="AR198" s="1315"/>
      <c r="AS198" s="465" t="str">
        <f t="shared" ref="AS198" si="501">IF(AU198="","",IF(U198&lt;N198,"！加算の要件上は問題ありませんが、令和６年４・５月と比較して令和６年６月に加算率が下がる計画になっています。",""))</f>
        <v/>
      </c>
      <c r="AT198" s="554"/>
      <c r="AU198" s="1303" t="str">
        <f>IF(K198&lt;&gt;"","V列に色付け","")</f>
        <v/>
      </c>
      <c r="AV198" s="555" t="str">
        <f>IF('別紙様式2-2（４・５月分）'!N152="","",'別紙様式2-2（４・５月分）'!N152)</f>
        <v/>
      </c>
      <c r="AW198" s="1305" t="str">
        <f>IF(SUM('別紙様式2-2（４・５月分）'!O152:O154)=0,"",SUM('別紙様式2-2（４・５月分）'!O152:O154))</f>
        <v/>
      </c>
      <c r="AX198" s="1306" t="str">
        <f>IFERROR(VLOOKUP(K198,【参考】数式用!$AH$2:$AI$34,2,FALSE),"")</f>
        <v/>
      </c>
      <c r="AY198" s="1222" t="s">
        <v>1959</v>
      </c>
      <c r="AZ198" s="1222" t="s">
        <v>1960</v>
      </c>
      <c r="BA198" s="1222" t="s">
        <v>1961</v>
      </c>
      <c r="BB198" s="1222" t="s">
        <v>1962</v>
      </c>
      <c r="BC198" s="1222" t="str">
        <f>IF(AND(O198&lt;&gt;"新加算Ⅰ",O198&lt;&gt;"新加算Ⅱ",O198&lt;&gt;"新加算Ⅲ",O198&lt;&gt;"新加算Ⅳ"),O198,IF(P200&lt;&gt;"",P200,""))</f>
        <v/>
      </c>
      <c r="BD198" s="1222"/>
      <c r="BE198" s="1222" t="str">
        <f t="shared" ref="BE198" si="502">IF(AL198&lt;&gt;0,IF(AM198="○","入力済","未入力"),"")</f>
        <v/>
      </c>
      <c r="BF198" s="1222"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2" t="str">
        <f>IF(OR(T198="新加算Ⅴ（７）",T198="新加算Ⅴ（９）",T198="新加算Ⅴ（10）",T198="新加算Ⅴ（12）",T198="新加算Ⅴ（13）",T198="新加算Ⅴ（14）"),IF(OR(AO198="○",AO198="令和６年度中に満たす"),"入力済","未入力"),"")</f>
        <v/>
      </c>
      <c r="BH198" s="1323" t="str">
        <f t="shared" ref="BH198" si="503">IF(OR(T198="新加算Ⅰ",T198="新加算Ⅱ",T198="新加算Ⅲ",T198="新加算Ⅴ（１）",T198="新加算Ⅴ（３）",T198="新加算Ⅴ（８）"),IF(OR(AP198="○",AP198="令和６年度中に満たす"),"入力済","未入力"),"")</f>
        <v/>
      </c>
      <c r="BI198" s="1325" t="str">
        <f t="shared" ref="BI198" si="504">IF(OR(T198="新加算Ⅰ",T198="新加算Ⅱ",T198="新加算Ⅴ（１）",T198="新加算Ⅴ（２）",T198="新加算Ⅴ（３）",T198="新加算Ⅴ（４）",T198="新加算Ⅴ（５）",T198="新加算Ⅴ（６）",T198="新加算Ⅴ（７）",T198="新加算Ⅴ（９）",T198="新加算Ⅴ（10）",T198="新加算Ⅴ（12）"),1,"")</f>
        <v/>
      </c>
      <c r="BJ198" s="1303" t="str">
        <f>IF(OR(T198="新加算Ⅰ",T198="新加算Ⅴ（１）",T198="新加算Ⅴ（２）",T198="新加算Ⅴ（５）",T198="新加算Ⅴ（７）",T198="新加算Ⅴ（10）"),IF(AR198="","未入力","入力済"),"")</f>
        <v/>
      </c>
      <c r="BK198" s="452" t="str">
        <f>G198</f>
        <v/>
      </c>
    </row>
    <row r="199" spans="1:63" ht="15" customHeight="1">
      <c r="A199" s="1267"/>
      <c r="B199" s="1235"/>
      <c r="C199" s="1236"/>
      <c r="D199" s="1236"/>
      <c r="E199" s="1236"/>
      <c r="F199" s="1237"/>
      <c r="G199" s="1252"/>
      <c r="H199" s="1252"/>
      <c r="I199" s="1252"/>
      <c r="J199" s="1415"/>
      <c r="K199" s="1252"/>
      <c r="L199" s="1276"/>
      <c r="M199" s="1371" t="str">
        <f>IF('別紙様式2-2（４・５月分）'!P153="","",'別紙様式2-2（４・５月分）'!P153)</f>
        <v/>
      </c>
      <c r="N199" s="1392"/>
      <c r="O199" s="1398"/>
      <c r="P199" s="1399"/>
      <c r="Q199" s="1400"/>
      <c r="R199" s="1402"/>
      <c r="S199" s="1404"/>
      <c r="T199" s="1406"/>
      <c r="U199" s="1408"/>
      <c r="V199" s="1410"/>
      <c r="W199" s="1348"/>
      <c r="X199" s="1350"/>
      <c r="Y199" s="1348"/>
      <c r="Z199" s="1350"/>
      <c r="AA199" s="1348"/>
      <c r="AB199" s="1350"/>
      <c r="AC199" s="1348"/>
      <c r="AD199" s="1350"/>
      <c r="AE199" s="1350"/>
      <c r="AF199" s="1350"/>
      <c r="AG199" s="1352"/>
      <c r="AH199" s="1354"/>
      <c r="AI199" s="1356"/>
      <c r="AJ199" s="1358"/>
      <c r="AK199" s="1342"/>
      <c r="AL199" s="1346"/>
      <c r="AM199" s="1332"/>
      <c r="AN199" s="1338"/>
      <c r="AO199" s="1334"/>
      <c r="AP199" s="1334"/>
      <c r="AQ199" s="1336"/>
      <c r="AR199" s="1316"/>
      <c r="AS199" s="1302"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4"/>
      <c r="AU199" s="1303"/>
      <c r="AV199" s="1304" t="str">
        <f>IF('別紙様式2-2（４・５月分）'!N153="","",'別紙様式2-2（４・５月分）'!N153)</f>
        <v/>
      </c>
      <c r="AW199" s="1305"/>
      <c r="AX199" s="1306"/>
      <c r="AY199" s="1222"/>
      <c r="AZ199" s="1222"/>
      <c r="BA199" s="1222"/>
      <c r="BB199" s="1222"/>
      <c r="BC199" s="1222"/>
      <c r="BD199" s="1222"/>
      <c r="BE199" s="1222"/>
      <c r="BF199" s="1222"/>
      <c r="BG199" s="1222"/>
      <c r="BH199" s="1324"/>
      <c r="BI199" s="1326"/>
      <c r="BJ199" s="1303"/>
      <c r="BK199" s="452" t="str">
        <f>G198</f>
        <v/>
      </c>
    </row>
    <row r="200" spans="1:63" ht="15" customHeight="1">
      <c r="A200" s="1295"/>
      <c r="B200" s="1235"/>
      <c r="C200" s="1236"/>
      <c r="D200" s="1236"/>
      <c r="E200" s="1236"/>
      <c r="F200" s="1237"/>
      <c r="G200" s="1252"/>
      <c r="H200" s="1252"/>
      <c r="I200" s="1252"/>
      <c r="J200" s="1415"/>
      <c r="K200" s="1252"/>
      <c r="L200" s="1276"/>
      <c r="M200" s="1372"/>
      <c r="N200" s="1393"/>
      <c r="O200" s="1373" t="s">
        <v>2025</v>
      </c>
      <c r="P200" s="1375" t="str">
        <f>IFERROR(VLOOKUP('別紙様式2-2（４・５月分）'!AQ152,【参考】数式用!$AR$5:$AT$22,3,FALSE),"")</f>
        <v/>
      </c>
      <c r="Q200" s="1377" t="s">
        <v>2036</v>
      </c>
      <c r="R200" s="1379" t="str">
        <f>IFERROR(VLOOKUP(K198,【参考】数式用!$A$5:$AB$37,MATCH(P200,【参考】数式用!$B$4:$AB$4,0)+1,0),"")</f>
        <v/>
      </c>
      <c r="S200" s="1381" t="s">
        <v>161</v>
      </c>
      <c r="T200" s="1383"/>
      <c r="U200" s="1385" t="str">
        <f>IFERROR(VLOOKUP(K198,【参考】数式用!$A$5:$AB$37,MATCH(T200,【参考】数式用!$B$4:$AB$4,0)+1,0),"")</f>
        <v/>
      </c>
      <c r="V200" s="1387" t="s">
        <v>15</v>
      </c>
      <c r="W200" s="1389">
        <v>7</v>
      </c>
      <c r="X200" s="1363" t="s">
        <v>10</v>
      </c>
      <c r="Y200" s="1389">
        <v>4</v>
      </c>
      <c r="Z200" s="1363" t="s">
        <v>38</v>
      </c>
      <c r="AA200" s="1389">
        <v>8</v>
      </c>
      <c r="AB200" s="1363" t="s">
        <v>10</v>
      </c>
      <c r="AC200" s="1389">
        <v>3</v>
      </c>
      <c r="AD200" s="1363" t="s">
        <v>13</v>
      </c>
      <c r="AE200" s="1363" t="s">
        <v>20</v>
      </c>
      <c r="AF200" s="1363">
        <f>IF(W200&gt;=1,(AA200*12+AC200)-(W200*12+Y200)+1,"")</f>
        <v>12</v>
      </c>
      <c r="AG200" s="1359" t="s">
        <v>33</v>
      </c>
      <c r="AH200" s="1365" t="str">
        <f t="shared" ref="AH200" si="506">IFERROR(ROUNDDOWN(ROUND(L198*U200,0),0)*AF200,"")</f>
        <v/>
      </c>
      <c r="AI200" s="1367" t="str">
        <f t="shared" ref="AI200" si="507">IFERROR(ROUNDDOWN(ROUND((L198*(U200-AW198)),0),0)*AF200,"")</f>
        <v/>
      </c>
      <c r="AJ200" s="1369">
        <f>IFERROR(IF(OR(M198="",M199="",M201=""),0,ROUNDDOWN(ROUNDDOWN(ROUND(L198*VLOOKUP(K198,【参考】数式用!$A$5:$AB$37,MATCH("新加算Ⅳ",【参考】数式用!$B$4:$AB$4,0)+1,0),0),0)*AF200*0.5,0)),"")</f>
        <v>0</v>
      </c>
      <c r="AK200" s="1339" t="str">
        <f t="shared" ref="AK200" si="508">IF(T200&lt;&gt;"","新規に適用","")</f>
        <v/>
      </c>
      <c r="AL200" s="1343">
        <f>IFERROR(IF(OR(M201="ベア加算",M201=""),0, IF(OR(T198="新加算Ⅰ",T198="新加算Ⅱ",T198="新加算Ⅲ",T198="新加算Ⅳ"),0,ROUNDDOWN(ROUND(L198*VLOOKUP(K198,【参考】数式用!$A$5:$I$37,MATCH("ベア加算",【参考】数式用!$B$4:$I$4,0)+1,0),0),0)*AF200)),"")</f>
        <v>0</v>
      </c>
      <c r="AM200" s="1313" t="str">
        <f>IF(AND(T200&lt;&gt;"",AM198=""),"新規に適用",IF(AND(T200&lt;&gt;"",AM198&lt;&gt;""),"継続で適用",""))</f>
        <v/>
      </c>
      <c r="AN200" s="1313" t="str">
        <f>IF(AND(T200&lt;&gt;"",AN198=""),"新規に適用",IF(AND(T200&lt;&gt;"",AN198&lt;&gt;""),"継続で適用",""))</f>
        <v/>
      </c>
      <c r="AO200" s="1361"/>
      <c r="AP200" s="1313" t="str">
        <f>IF(AND(T200&lt;&gt;"",AP198=""),"新規に適用",IF(AND(T200&lt;&gt;"",AP198&lt;&gt;""),"継続で適用",""))</f>
        <v/>
      </c>
      <c r="AQ200" s="1317" t="str">
        <f t="shared" si="420"/>
        <v/>
      </c>
      <c r="AR200" s="1313" t="str">
        <f>IF(AND(T200&lt;&gt;"",AR198=""),"新規に適用",IF(AND(T200&lt;&gt;"",AR198&lt;&gt;""),"継続で適用",""))</f>
        <v/>
      </c>
      <c r="AS200" s="1302"/>
      <c r="AT200" s="554"/>
      <c r="AU200" s="1303" t="str">
        <f>IF(K198&lt;&gt;"","V列に色付け","")</f>
        <v/>
      </c>
      <c r="AV200" s="1304"/>
      <c r="AW200" s="1305"/>
      <c r="AX200"/>
      <c r="AY200"/>
      <c r="AZ200"/>
      <c r="BA200"/>
      <c r="BB200"/>
      <c r="BC200"/>
      <c r="BD200"/>
      <c r="BE200"/>
      <c r="BF200"/>
      <c r="BG200"/>
      <c r="BH200"/>
      <c r="BI200"/>
      <c r="BJ200"/>
      <c r="BK200" s="452" t="str">
        <f>G198</f>
        <v/>
      </c>
    </row>
    <row r="201" spans="1:63" ht="30" customHeight="1" thickBot="1">
      <c r="A201" s="1268"/>
      <c r="B201" s="1411"/>
      <c r="C201" s="1412"/>
      <c r="D201" s="1412"/>
      <c r="E201" s="1412"/>
      <c r="F201" s="1413"/>
      <c r="G201" s="1253"/>
      <c r="H201" s="1253"/>
      <c r="I201" s="1253"/>
      <c r="J201" s="1416"/>
      <c r="K201" s="1253"/>
      <c r="L201" s="1277"/>
      <c r="M201" s="553" t="str">
        <f>IF('別紙様式2-2（４・５月分）'!P154="","",'別紙様式2-2（４・５月分）'!P154)</f>
        <v/>
      </c>
      <c r="N201" s="1394"/>
      <c r="O201" s="1374"/>
      <c r="P201" s="1376"/>
      <c r="Q201" s="1378"/>
      <c r="R201" s="1380"/>
      <c r="S201" s="1382"/>
      <c r="T201" s="1384"/>
      <c r="U201" s="1386"/>
      <c r="V201" s="1388"/>
      <c r="W201" s="1390"/>
      <c r="X201" s="1364"/>
      <c r="Y201" s="1390"/>
      <c r="Z201" s="1364"/>
      <c r="AA201" s="1390"/>
      <c r="AB201" s="1364"/>
      <c r="AC201" s="1390"/>
      <c r="AD201" s="1364"/>
      <c r="AE201" s="1364"/>
      <c r="AF201" s="1364"/>
      <c r="AG201" s="1360"/>
      <c r="AH201" s="1366"/>
      <c r="AI201" s="1368"/>
      <c r="AJ201" s="1370"/>
      <c r="AK201" s="1340"/>
      <c r="AL201" s="1344"/>
      <c r="AM201" s="1314"/>
      <c r="AN201" s="1314"/>
      <c r="AO201" s="1362"/>
      <c r="AP201" s="1314"/>
      <c r="AQ201" s="1318"/>
      <c r="AR201" s="1314"/>
      <c r="AS201" s="490"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4"/>
      <c r="AU201" s="1303"/>
      <c r="AV201" s="555" t="str">
        <f>IF('別紙様式2-2（４・５月分）'!N154="","",'別紙様式2-2（４・５月分）'!N154)</f>
        <v/>
      </c>
      <c r="AW201" s="1305"/>
      <c r="AX201"/>
      <c r="AY201"/>
      <c r="AZ201"/>
      <c r="BA201"/>
      <c r="BB201"/>
      <c r="BC201"/>
      <c r="BD201"/>
      <c r="BE201"/>
      <c r="BF201"/>
      <c r="BG201"/>
      <c r="BH201"/>
      <c r="BI201"/>
      <c r="BJ201"/>
      <c r="BK201" s="452" t="str">
        <f>G198</f>
        <v/>
      </c>
    </row>
    <row r="202" spans="1:63" ht="30" customHeight="1">
      <c r="A202" s="1293">
        <v>48</v>
      </c>
      <c r="B202" s="1235" t="str">
        <f>IF(基本情報入力シート!C101="","",基本情報入力シート!C101)</f>
        <v/>
      </c>
      <c r="C202" s="1236"/>
      <c r="D202" s="1236"/>
      <c r="E202" s="1236"/>
      <c r="F202" s="1237"/>
      <c r="G202" s="1252" t="str">
        <f>IF(基本情報入力シート!M101="","",基本情報入力シート!M101)</f>
        <v/>
      </c>
      <c r="H202" s="1252" t="str">
        <f>IF(基本情報入力シート!R101="","",基本情報入力シート!R101)</f>
        <v/>
      </c>
      <c r="I202" s="1252" t="str">
        <f>IF(基本情報入力シート!W101="","",基本情報入力シート!W101)</f>
        <v/>
      </c>
      <c r="J202" s="1415" t="str">
        <f>IF(基本情報入力シート!X101="","",基本情報入力シート!X101)</f>
        <v/>
      </c>
      <c r="K202" s="1252" t="str">
        <f>IF(基本情報入力シート!Y101="","",基本情報入力シート!Y101)</f>
        <v/>
      </c>
      <c r="L202" s="1276" t="str">
        <f>IF(基本情報入力シート!AB101="","",基本情報入力シート!AB101)</f>
        <v/>
      </c>
      <c r="M202" s="550" t="str">
        <f>IF('別紙様式2-2（４・５月分）'!P155="","",'別紙様式2-2（４・５月分）'!P155)</f>
        <v/>
      </c>
      <c r="N202" s="1391" t="str">
        <f>IF(SUM('別紙様式2-2（４・５月分）'!Q155:Q157)=0,"",SUM('別紙様式2-2（４・５月分）'!Q155:Q157))</f>
        <v/>
      </c>
      <c r="O202" s="1395" t="str">
        <f>IFERROR(VLOOKUP('別紙様式2-2（４・５月分）'!AQ155,【参考】数式用!$AR$5:$AS$22,2,FALSE),"")</f>
        <v/>
      </c>
      <c r="P202" s="1396"/>
      <c r="Q202" s="1397"/>
      <c r="R202" s="1401" t="str">
        <f>IFERROR(VLOOKUP(K202,【参考】数式用!$A$5:$AB$37,MATCH(O202,【参考】数式用!$B$4:$AB$4,0)+1,0),"")</f>
        <v/>
      </c>
      <c r="S202" s="1403" t="s">
        <v>2021</v>
      </c>
      <c r="T202" s="1405"/>
      <c r="U202" s="1407" t="str">
        <f>IFERROR(VLOOKUP(K202,【参考】数式用!$A$5:$AB$37,MATCH(T202,【参考】数式用!$B$4:$AB$4,0)+1,0),"")</f>
        <v/>
      </c>
      <c r="V202" s="1409" t="s">
        <v>15</v>
      </c>
      <c r="W202" s="1347">
        <v>6</v>
      </c>
      <c r="X202" s="1349" t="s">
        <v>10</v>
      </c>
      <c r="Y202" s="1347">
        <v>6</v>
      </c>
      <c r="Z202" s="1349" t="s">
        <v>38</v>
      </c>
      <c r="AA202" s="1347">
        <v>7</v>
      </c>
      <c r="AB202" s="1349" t="s">
        <v>10</v>
      </c>
      <c r="AC202" s="1347">
        <v>3</v>
      </c>
      <c r="AD202" s="1349" t="s">
        <v>13</v>
      </c>
      <c r="AE202" s="1349" t="s">
        <v>20</v>
      </c>
      <c r="AF202" s="1349">
        <f>IF(W202&gt;=1,(AA202*12+AC202)-(W202*12+Y202)+1,"")</f>
        <v>10</v>
      </c>
      <c r="AG202" s="1351" t="s">
        <v>33</v>
      </c>
      <c r="AH202" s="1353" t="str">
        <f t="shared" ref="AH202" si="510">IFERROR(ROUNDDOWN(ROUND(L202*U202,0),0)*AF202,"")</f>
        <v/>
      </c>
      <c r="AI202" s="1355" t="str">
        <f t="shared" ref="AI202" si="511">IFERROR(ROUNDDOWN(ROUND((L202*(U202-AW202)),0),0)*AF202,"")</f>
        <v/>
      </c>
      <c r="AJ202" s="1357">
        <f>IFERROR(IF(OR(M202="",M203="",M205=""),0,ROUNDDOWN(ROUNDDOWN(ROUND(L202*VLOOKUP(K202,【参考】数式用!$A$5:$AB$37,MATCH("新加算Ⅳ",【参考】数式用!$B$4:$AB$4,0)+1,0),0),0)*AF202*0.5,0)),"")</f>
        <v>0</v>
      </c>
      <c r="AK202" s="1341"/>
      <c r="AL202" s="1345">
        <f>IFERROR(IF(OR(M205="ベア加算",M205=""),0, IF(OR(T202="新加算Ⅰ",T202="新加算Ⅱ",T202="新加算Ⅲ",T202="新加算Ⅳ"),ROUNDDOWN(ROUND(L202*VLOOKUP(K202,【参考】数式用!$A$5:$I$37,MATCH("ベア加算",【参考】数式用!$B$4:$I$4,0)+1,0),0),0)*AF202,0)),"")</f>
        <v>0</v>
      </c>
      <c r="AM202" s="1331"/>
      <c r="AN202" s="1337"/>
      <c r="AO202" s="1333"/>
      <c r="AP202" s="1333"/>
      <c r="AQ202" s="1335"/>
      <c r="AR202" s="1315"/>
      <c r="AS202" s="465" t="str">
        <f t="shared" ref="AS202" si="512">IF(AU202="","",IF(U202&lt;N202,"！加算の要件上は問題ありませんが、令和６年４・５月と比較して令和６年６月に加算率が下がる計画になっています。",""))</f>
        <v/>
      </c>
      <c r="AT202" s="554"/>
      <c r="AU202" s="1303" t="str">
        <f>IF(K202&lt;&gt;"","V列に色付け","")</f>
        <v/>
      </c>
      <c r="AV202" s="555" t="str">
        <f>IF('別紙様式2-2（４・５月分）'!N155="","",'別紙様式2-2（４・５月分）'!N155)</f>
        <v/>
      </c>
      <c r="AW202" s="1305" t="str">
        <f>IF(SUM('別紙様式2-2（４・５月分）'!O155:O157)=0,"",SUM('別紙様式2-2（４・５月分）'!O155:O157))</f>
        <v/>
      </c>
      <c r="AX202" s="1306" t="str">
        <f>IFERROR(VLOOKUP(K202,【参考】数式用!$AH$2:$AI$34,2,FALSE),"")</f>
        <v/>
      </c>
      <c r="AY202" s="1222" t="s">
        <v>1959</v>
      </c>
      <c r="AZ202" s="1222" t="s">
        <v>1960</v>
      </c>
      <c r="BA202" s="1222" t="s">
        <v>1961</v>
      </c>
      <c r="BB202" s="1222" t="s">
        <v>1962</v>
      </c>
      <c r="BC202" s="1222" t="str">
        <f>IF(AND(O202&lt;&gt;"新加算Ⅰ",O202&lt;&gt;"新加算Ⅱ",O202&lt;&gt;"新加算Ⅲ",O202&lt;&gt;"新加算Ⅳ"),O202,IF(P204&lt;&gt;"",P204,""))</f>
        <v/>
      </c>
      <c r="BD202" s="1222"/>
      <c r="BE202" s="1222" t="str">
        <f t="shared" ref="BE202" si="513">IF(AL202&lt;&gt;0,IF(AM202="○","入力済","未入力"),"")</f>
        <v/>
      </c>
      <c r="BF202" s="1222"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2" t="str">
        <f>IF(OR(T202="新加算Ⅴ（７）",T202="新加算Ⅴ（９）",T202="新加算Ⅴ（10）",T202="新加算Ⅴ（12）",T202="新加算Ⅴ（13）",T202="新加算Ⅴ（14）"),IF(OR(AO202="○",AO202="令和６年度中に満たす"),"入力済","未入力"),"")</f>
        <v/>
      </c>
      <c r="BH202" s="1323" t="str">
        <f t="shared" ref="BH202" si="514">IF(OR(T202="新加算Ⅰ",T202="新加算Ⅱ",T202="新加算Ⅲ",T202="新加算Ⅴ（１）",T202="新加算Ⅴ（３）",T202="新加算Ⅴ（８）"),IF(OR(AP202="○",AP202="令和６年度中に満たす"),"入力済","未入力"),"")</f>
        <v/>
      </c>
      <c r="BI202" s="1325" t="str">
        <f t="shared" ref="BI202" si="515">IF(OR(T202="新加算Ⅰ",T202="新加算Ⅱ",T202="新加算Ⅴ（１）",T202="新加算Ⅴ（２）",T202="新加算Ⅴ（３）",T202="新加算Ⅴ（４）",T202="新加算Ⅴ（５）",T202="新加算Ⅴ（６）",T202="新加算Ⅴ（７）",T202="新加算Ⅴ（９）",T202="新加算Ⅴ（10）",T202="新加算Ⅴ（12）"),1,"")</f>
        <v/>
      </c>
      <c r="BJ202" s="1303" t="str">
        <f>IF(OR(T202="新加算Ⅰ",T202="新加算Ⅴ（１）",T202="新加算Ⅴ（２）",T202="新加算Ⅴ（５）",T202="新加算Ⅴ（７）",T202="新加算Ⅴ（10）"),IF(AR202="","未入力","入力済"),"")</f>
        <v/>
      </c>
      <c r="BK202" s="452" t="str">
        <f>G202</f>
        <v/>
      </c>
    </row>
    <row r="203" spans="1:63" ht="15" customHeight="1">
      <c r="A203" s="1267"/>
      <c r="B203" s="1235"/>
      <c r="C203" s="1236"/>
      <c r="D203" s="1236"/>
      <c r="E203" s="1236"/>
      <c r="F203" s="1237"/>
      <c r="G203" s="1252"/>
      <c r="H203" s="1252"/>
      <c r="I203" s="1252"/>
      <c r="J203" s="1415"/>
      <c r="K203" s="1252"/>
      <c r="L203" s="1276"/>
      <c r="M203" s="1371" t="str">
        <f>IF('別紙様式2-2（４・５月分）'!P156="","",'別紙様式2-2（４・５月分）'!P156)</f>
        <v/>
      </c>
      <c r="N203" s="1392"/>
      <c r="O203" s="1398"/>
      <c r="P203" s="1399"/>
      <c r="Q203" s="1400"/>
      <c r="R203" s="1402"/>
      <c r="S203" s="1404"/>
      <c r="T203" s="1406"/>
      <c r="U203" s="1408"/>
      <c r="V203" s="1410"/>
      <c r="W203" s="1348"/>
      <c r="X203" s="1350"/>
      <c r="Y203" s="1348"/>
      <c r="Z203" s="1350"/>
      <c r="AA203" s="1348"/>
      <c r="AB203" s="1350"/>
      <c r="AC203" s="1348"/>
      <c r="AD203" s="1350"/>
      <c r="AE203" s="1350"/>
      <c r="AF203" s="1350"/>
      <c r="AG203" s="1352"/>
      <c r="AH203" s="1354"/>
      <c r="AI203" s="1356"/>
      <c r="AJ203" s="1358"/>
      <c r="AK203" s="1342"/>
      <c r="AL203" s="1346"/>
      <c r="AM203" s="1332"/>
      <c r="AN203" s="1338"/>
      <c r="AO203" s="1334"/>
      <c r="AP203" s="1334"/>
      <c r="AQ203" s="1336"/>
      <c r="AR203" s="1316"/>
      <c r="AS203" s="1302"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4"/>
      <c r="AU203" s="1303"/>
      <c r="AV203" s="1304" t="str">
        <f>IF('別紙様式2-2（４・５月分）'!N156="","",'別紙様式2-2（４・５月分）'!N156)</f>
        <v/>
      </c>
      <c r="AW203" s="1305"/>
      <c r="AX203" s="1306"/>
      <c r="AY203" s="1222"/>
      <c r="AZ203" s="1222"/>
      <c r="BA203" s="1222"/>
      <c r="BB203" s="1222"/>
      <c r="BC203" s="1222"/>
      <c r="BD203" s="1222"/>
      <c r="BE203" s="1222"/>
      <c r="BF203" s="1222"/>
      <c r="BG203" s="1222"/>
      <c r="BH203" s="1324"/>
      <c r="BI203" s="1326"/>
      <c r="BJ203" s="1303"/>
      <c r="BK203" s="452" t="str">
        <f>G202</f>
        <v/>
      </c>
    </row>
    <row r="204" spans="1:63" ht="15" customHeight="1">
      <c r="A204" s="1295"/>
      <c r="B204" s="1235"/>
      <c r="C204" s="1236"/>
      <c r="D204" s="1236"/>
      <c r="E204" s="1236"/>
      <c r="F204" s="1237"/>
      <c r="G204" s="1252"/>
      <c r="H204" s="1252"/>
      <c r="I204" s="1252"/>
      <c r="J204" s="1415"/>
      <c r="K204" s="1252"/>
      <c r="L204" s="1276"/>
      <c r="M204" s="1372"/>
      <c r="N204" s="1393"/>
      <c r="O204" s="1373" t="s">
        <v>2025</v>
      </c>
      <c r="P204" s="1375" t="str">
        <f>IFERROR(VLOOKUP('別紙様式2-2（４・５月分）'!AQ155,【参考】数式用!$AR$5:$AT$22,3,FALSE),"")</f>
        <v/>
      </c>
      <c r="Q204" s="1377" t="s">
        <v>2036</v>
      </c>
      <c r="R204" s="1379" t="str">
        <f>IFERROR(VLOOKUP(K202,【参考】数式用!$A$5:$AB$37,MATCH(P204,【参考】数式用!$B$4:$AB$4,0)+1,0),"")</f>
        <v/>
      </c>
      <c r="S204" s="1381" t="s">
        <v>161</v>
      </c>
      <c r="T204" s="1383"/>
      <c r="U204" s="1385" t="str">
        <f>IFERROR(VLOOKUP(K202,【参考】数式用!$A$5:$AB$37,MATCH(T204,【参考】数式用!$B$4:$AB$4,0)+1,0),"")</f>
        <v/>
      </c>
      <c r="V204" s="1387" t="s">
        <v>15</v>
      </c>
      <c r="W204" s="1389">
        <v>7</v>
      </c>
      <c r="X204" s="1363" t="s">
        <v>10</v>
      </c>
      <c r="Y204" s="1389">
        <v>4</v>
      </c>
      <c r="Z204" s="1363" t="s">
        <v>38</v>
      </c>
      <c r="AA204" s="1389">
        <v>8</v>
      </c>
      <c r="AB204" s="1363" t="s">
        <v>10</v>
      </c>
      <c r="AC204" s="1389">
        <v>3</v>
      </c>
      <c r="AD204" s="1363" t="s">
        <v>13</v>
      </c>
      <c r="AE204" s="1363" t="s">
        <v>20</v>
      </c>
      <c r="AF204" s="1363">
        <f>IF(W204&gt;=1,(AA204*12+AC204)-(W204*12+Y204)+1,"")</f>
        <v>12</v>
      </c>
      <c r="AG204" s="1359" t="s">
        <v>33</v>
      </c>
      <c r="AH204" s="1365" t="str">
        <f t="shared" ref="AH204" si="517">IFERROR(ROUNDDOWN(ROUND(L202*U204,0),0)*AF204,"")</f>
        <v/>
      </c>
      <c r="AI204" s="1367" t="str">
        <f t="shared" ref="AI204" si="518">IFERROR(ROUNDDOWN(ROUND((L202*(U204-AW202)),0),0)*AF204,"")</f>
        <v/>
      </c>
      <c r="AJ204" s="1369">
        <f>IFERROR(IF(OR(M202="",M203="",M205=""),0,ROUNDDOWN(ROUNDDOWN(ROUND(L202*VLOOKUP(K202,【参考】数式用!$A$5:$AB$37,MATCH("新加算Ⅳ",【参考】数式用!$B$4:$AB$4,0)+1,0),0),0)*AF204*0.5,0)),"")</f>
        <v>0</v>
      </c>
      <c r="AK204" s="1339" t="str">
        <f t="shared" ref="AK204" si="519">IF(T204&lt;&gt;"","新規に適用","")</f>
        <v/>
      </c>
      <c r="AL204" s="1343">
        <f>IFERROR(IF(OR(M205="ベア加算",M205=""),0, IF(OR(T202="新加算Ⅰ",T202="新加算Ⅱ",T202="新加算Ⅲ",T202="新加算Ⅳ"),0,ROUNDDOWN(ROUND(L202*VLOOKUP(K202,【参考】数式用!$A$5:$I$37,MATCH("ベア加算",【参考】数式用!$B$4:$I$4,0)+1,0),0),0)*AF204)),"")</f>
        <v>0</v>
      </c>
      <c r="AM204" s="1313" t="str">
        <f>IF(AND(T204&lt;&gt;"",AM202=""),"新規に適用",IF(AND(T204&lt;&gt;"",AM202&lt;&gt;""),"継続で適用",""))</f>
        <v/>
      </c>
      <c r="AN204" s="1313" t="str">
        <f>IF(AND(T204&lt;&gt;"",AN202=""),"新規に適用",IF(AND(T204&lt;&gt;"",AN202&lt;&gt;""),"継続で適用",""))</f>
        <v/>
      </c>
      <c r="AO204" s="1361"/>
      <c r="AP204" s="1313" t="str">
        <f>IF(AND(T204&lt;&gt;"",AP202=""),"新規に適用",IF(AND(T204&lt;&gt;"",AP202&lt;&gt;""),"継続で適用",""))</f>
        <v/>
      </c>
      <c r="AQ204" s="1317" t="str">
        <f t="shared" si="420"/>
        <v/>
      </c>
      <c r="AR204" s="1313" t="str">
        <f>IF(AND(T204&lt;&gt;"",AR202=""),"新規に適用",IF(AND(T204&lt;&gt;"",AR202&lt;&gt;""),"継続で適用",""))</f>
        <v/>
      </c>
      <c r="AS204" s="1302"/>
      <c r="AT204" s="554"/>
      <c r="AU204" s="1303" t="str">
        <f>IF(K202&lt;&gt;"","V列に色付け","")</f>
        <v/>
      </c>
      <c r="AV204" s="1304"/>
      <c r="AW204" s="1305"/>
      <c r="AX204"/>
      <c r="AY204"/>
      <c r="AZ204"/>
      <c r="BA204"/>
      <c r="BB204"/>
      <c r="BC204"/>
      <c r="BD204"/>
      <c r="BE204"/>
      <c r="BF204"/>
      <c r="BG204"/>
      <c r="BH204"/>
      <c r="BI204"/>
      <c r="BJ204"/>
      <c r="BK204" s="452" t="str">
        <f>G202</f>
        <v/>
      </c>
    </row>
    <row r="205" spans="1:63" ht="30" customHeight="1" thickBot="1">
      <c r="A205" s="1268"/>
      <c r="B205" s="1411"/>
      <c r="C205" s="1412"/>
      <c r="D205" s="1412"/>
      <c r="E205" s="1412"/>
      <c r="F205" s="1413"/>
      <c r="G205" s="1253"/>
      <c r="H205" s="1253"/>
      <c r="I205" s="1253"/>
      <c r="J205" s="1416"/>
      <c r="K205" s="1253"/>
      <c r="L205" s="1277"/>
      <c r="M205" s="553" t="str">
        <f>IF('別紙様式2-2（４・５月分）'!P157="","",'別紙様式2-2（４・５月分）'!P157)</f>
        <v/>
      </c>
      <c r="N205" s="1394"/>
      <c r="O205" s="1374"/>
      <c r="P205" s="1376"/>
      <c r="Q205" s="1378"/>
      <c r="R205" s="1380"/>
      <c r="S205" s="1382"/>
      <c r="T205" s="1384"/>
      <c r="U205" s="1386"/>
      <c r="V205" s="1388"/>
      <c r="W205" s="1390"/>
      <c r="X205" s="1364"/>
      <c r="Y205" s="1390"/>
      <c r="Z205" s="1364"/>
      <c r="AA205" s="1390"/>
      <c r="AB205" s="1364"/>
      <c r="AC205" s="1390"/>
      <c r="AD205" s="1364"/>
      <c r="AE205" s="1364"/>
      <c r="AF205" s="1364"/>
      <c r="AG205" s="1360"/>
      <c r="AH205" s="1366"/>
      <c r="AI205" s="1368"/>
      <c r="AJ205" s="1370"/>
      <c r="AK205" s="1340"/>
      <c r="AL205" s="1344"/>
      <c r="AM205" s="1314"/>
      <c r="AN205" s="1314"/>
      <c r="AO205" s="1362"/>
      <c r="AP205" s="1314"/>
      <c r="AQ205" s="1318"/>
      <c r="AR205" s="1314"/>
      <c r="AS205" s="490"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4"/>
      <c r="AU205" s="1303"/>
      <c r="AV205" s="555" t="str">
        <f>IF('別紙様式2-2（４・５月分）'!N157="","",'別紙様式2-2（４・５月分）'!N157)</f>
        <v/>
      </c>
      <c r="AW205" s="1305"/>
      <c r="AX205"/>
      <c r="AY205"/>
      <c r="AZ205"/>
      <c r="BA205"/>
      <c r="BB205"/>
      <c r="BC205"/>
      <c r="BD205"/>
      <c r="BE205"/>
      <c r="BF205"/>
      <c r="BG205"/>
      <c r="BH205"/>
      <c r="BI205"/>
      <c r="BJ205"/>
      <c r="BK205" s="452" t="str">
        <f>G202</f>
        <v/>
      </c>
    </row>
    <row r="206" spans="1:63" ht="30" customHeight="1">
      <c r="A206" s="1266">
        <v>49</v>
      </c>
      <c r="B206" s="1232" t="str">
        <f>IF(基本情報入力シート!C102="","",基本情報入力シート!C102)</f>
        <v/>
      </c>
      <c r="C206" s="1233"/>
      <c r="D206" s="1233"/>
      <c r="E206" s="1233"/>
      <c r="F206" s="1234"/>
      <c r="G206" s="1251" t="str">
        <f>IF(基本情報入力シート!M102="","",基本情報入力シート!M102)</f>
        <v/>
      </c>
      <c r="H206" s="1251" t="str">
        <f>IF(基本情報入力シート!R102="","",基本情報入力シート!R102)</f>
        <v/>
      </c>
      <c r="I206" s="1251" t="str">
        <f>IF(基本情報入力シート!W102="","",基本情報入力シート!W102)</f>
        <v/>
      </c>
      <c r="J206" s="1414" t="str">
        <f>IF(基本情報入力シート!X102="","",基本情報入力シート!X102)</f>
        <v/>
      </c>
      <c r="K206" s="1251" t="str">
        <f>IF(基本情報入力シート!Y102="","",基本情報入力シート!Y102)</f>
        <v/>
      </c>
      <c r="L206" s="1275" t="str">
        <f>IF(基本情報入力シート!AB102="","",基本情報入力シート!AB102)</f>
        <v/>
      </c>
      <c r="M206" s="550" t="str">
        <f>IF('別紙様式2-2（４・５月分）'!P158="","",'別紙様式2-2（４・５月分）'!P158)</f>
        <v/>
      </c>
      <c r="N206" s="1391" t="str">
        <f>IF(SUM('別紙様式2-2（４・５月分）'!Q158:Q160)=0,"",SUM('別紙様式2-2（４・５月分）'!Q158:Q160))</f>
        <v/>
      </c>
      <c r="O206" s="1395" t="str">
        <f>IFERROR(VLOOKUP('別紙様式2-2（４・５月分）'!AQ158,【参考】数式用!$AR$5:$AS$22,2,FALSE),"")</f>
        <v/>
      </c>
      <c r="P206" s="1396"/>
      <c r="Q206" s="1397"/>
      <c r="R206" s="1401" t="str">
        <f>IFERROR(VLOOKUP(K206,【参考】数式用!$A$5:$AB$37,MATCH(O206,【参考】数式用!$B$4:$AB$4,0)+1,0),"")</f>
        <v/>
      </c>
      <c r="S206" s="1403" t="s">
        <v>2021</v>
      </c>
      <c r="T206" s="1405"/>
      <c r="U206" s="1407" t="str">
        <f>IFERROR(VLOOKUP(K206,【参考】数式用!$A$5:$AB$37,MATCH(T206,【参考】数式用!$B$4:$AB$4,0)+1,0),"")</f>
        <v/>
      </c>
      <c r="V206" s="1409" t="s">
        <v>15</v>
      </c>
      <c r="W206" s="1347">
        <v>6</v>
      </c>
      <c r="X206" s="1349" t="s">
        <v>10</v>
      </c>
      <c r="Y206" s="1347">
        <v>6</v>
      </c>
      <c r="Z206" s="1349" t="s">
        <v>38</v>
      </c>
      <c r="AA206" s="1347">
        <v>7</v>
      </c>
      <c r="AB206" s="1349" t="s">
        <v>10</v>
      </c>
      <c r="AC206" s="1347">
        <v>3</v>
      </c>
      <c r="AD206" s="1349" t="s">
        <v>13</v>
      </c>
      <c r="AE206" s="1349" t="s">
        <v>20</v>
      </c>
      <c r="AF206" s="1349">
        <f>IF(W206&gt;=1,(AA206*12+AC206)-(W206*12+Y206)+1,"")</f>
        <v>10</v>
      </c>
      <c r="AG206" s="1351" t="s">
        <v>33</v>
      </c>
      <c r="AH206" s="1353" t="str">
        <f t="shared" ref="AH206" si="521">IFERROR(ROUNDDOWN(ROUND(L206*U206,0),0)*AF206,"")</f>
        <v/>
      </c>
      <c r="AI206" s="1355" t="str">
        <f t="shared" ref="AI206" si="522">IFERROR(ROUNDDOWN(ROUND((L206*(U206-AW206)),0),0)*AF206,"")</f>
        <v/>
      </c>
      <c r="AJ206" s="1357">
        <f>IFERROR(IF(OR(M206="",M207="",M209=""),0,ROUNDDOWN(ROUNDDOWN(ROUND(L206*VLOOKUP(K206,【参考】数式用!$A$5:$AB$37,MATCH("新加算Ⅳ",【参考】数式用!$B$4:$AB$4,0)+1,0),0),0)*AF206*0.5,0)),"")</f>
        <v>0</v>
      </c>
      <c r="AK206" s="1341"/>
      <c r="AL206" s="1345">
        <f>IFERROR(IF(OR(M209="ベア加算",M209=""),0, IF(OR(T206="新加算Ⅰ",T206="新加算Ⅱ",T206="新加算Ⅲ",T206="新加算Ⅳ"),ROUNDDOWN(ROUND(L206*VLOOKUP(K206,【参考】数式用!$A$5:$I$37,MATCH("ベア加算",【参考】数式用!$B$4:$I$4,0)+1,0),0),0)*AF206,0)),"")</f>
        <v>0</v>
      </c>
      <c r="AM206" s="1331"/>
      <c r="AN206" s="1337"/>
      <c r="AO206" s="1333"/>
      <c r="AP206" s="1333"/>
      <c r="AQ206" s="1335"/>
      <c r="AR206" s="1315"/>
      <c r="AS206" s="465" t="str">
        <f t="shared" ref="AS206" si="523">IF(AU206="","",IF(U206&lt;N206,"！加算の要件上は問題ありませんが、令和６年４・５月と比較して令和６年６月に加算率が下がる計画になっています。",""))</f>
        <v/>
      </c>
      <c r="AT206" s="554"/>
      <c r="AU206" s="1303" t="str">
        <f>IF(K206&lt;&gt;"","V列に色付け","")</f>
        <v/>
      </c>
      <c r="AV206" s="555" t="str">
        <f>IF('別紙様式2-2（４・５月分）'!N158="","",'別紙様式2-2（４・５月分）'!N158)</f>
        <v/>
      </c>
      <c r="AW206" s="1305" t="str">
        <f>IF(SUM('別紙様式2-2（４・５月分）'!O158:O160)=0,"",SUM('別紙様式2-2（４・５月分）'!O158:O160))</f>
        <v/>
      </c>
      <c r="AX206" s="1306" t="str">
        <f>IFERROR(VLOOKUP(K206,【参考】数式用!$AH$2:$AI$34,2,FALSE),"")</f>
        <v/>
      </c>
      <c r="AY206" s="1222" t="s">
        <v>1959</v>
      </c>
      <c r="AZ206" s="1222" t="s">
        <v>1960</v>
      </c>
      <c r="BA206" s="1222" t="s">
        <v>1961</v>
      </c>
      <c r="BB206" s="1222" t="s">
        <v>1962</v>
      </c>
      <c r="BC206" s="1222" t="str">
        <f>IF(AND(O206&lt;&gt;"新加算Ⅰ",O206&lt;&gt;"新加算Ⅱ",O206&lt;&gt;"新加算Ⅲ",O206&lt;&gt;"新加算Ⅳ"),O206,IF(P208&lt;&gt;"",P208,""))</f>
        <v/>
      </c>
      <c r="BD206" s="1222"/>
      <c r="BE206" s="1222" t="str">
        <f t="shared" ref="BE206" si="524">IF(AL206&lt;&gt;0,IF(AM206="○","入力済","未入力"),"")</f>
        <v/>
      </c>
      <c r="BF206" s="1222"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2" t="str">
        <f>IF(OR(T206="新加算Ⅴ（７）",T206="新加算Ⅴ（９）",T206="新加算Ⅴ（10）",T206="新加算Ⅴ（12）",T206="新加算Ⅴ（13）",T206="新加算Ⅴ（14）"),IF(OR(AO206="○",AO206="令和６年度中に満たす"),"入力済","未入力"),"")</f>
        <v/>
      </c>
      <c r="BH206" s="1323" t="str">
        <f t="shared" ref="BH206" si="525">IF(OR(T206="新加算Ⅰ",T206="新加算Ⅱ",T206="新加算Ⅲ",T206="新加算Ⅴ（１）",T206="新加算Ⅴ（３）",T206="新加算Ⅴ（８）"),IF(OR(AP206="○",AP206="令和６年度中に満たす"),"入力済","未入力"),"")</f>
        <v/>
      </c>
      <c r="BI206" s="1325" t="str">
        <f t="shared" ref="BI206" si="526">IF(OR(T206="新加算Ⅰ",T206="新加算Ⅱ",T206="新加算Ⅴ（１）",T206="新加算Ⅴ（２）",T206="新加算Ⅴ（３）",T206="新加算Ⅴ（４）",T206="新加算Ⅴ（５）",T206="新加算Ⅴ（６）",T206="新加算Ⅴ（７）",T206="新加算Ⅴ（９）",T206="新加算Ⅴ（10）",T206="新加算Ⅴ（12）"),1,"")</f>
        <v/>
      </c>
      <c r="BJ206" s="1303" t="str">
        <f>IF(OR(T206="新加算Ⅰ",T206="新加算Ⅴ（１）",T206="新加算Ⅴ（２）",T206="新加算Ⅴ（５）",T206="新加算Ⅴ（７）",T206="新加算Ⅴ（10）"),IF(AR206="","未入力","入力済"),"")</f>
        <v/>
      </c>
      <c r="BK206" s="452" t="str">
        <f>G206</f>
        <v/>
      </c>
    </row>
    <row r="207" spans="1:63" ht="15" customHeight="1">
      <c r="A207" s="1267"/>
      <c r="B207" s="1235"/>
      <c r="C207" s="1236"/>
      <c r="D207" s="1236"/>
      <c r="E207" s="1236"/>
      <c r="F207" s="1237"/>
      <c r="G207" s="1252"/>
      <c r="H207" s="1252"/>
      <c r="I207" s="1252"/>
      <c r="J207" s="1415"/>
      <c r="K207" s="1252"/>
      <c r="L207" s="1276"/>
      <c r="M207" s="1371" t="str">
        <f>IF('別紙様式2-2（４・５月分）'!P159="","",'別紙様式2-2（４・５月分）'!P159)</f>
        <v/>
      </c>
      <c r="N207" s="1392"/>
      <c r="O207" s="1398"/>
      <c r="P207" s="1399"/>
      <c r="Q207" s="1400"/>
      <c r="R207" s="1402"/>
      <c r="S207" s="1404"/>
      <c r="T207" s="1406"/>
      <c r="U207" s="1408"/>
      <c r="V207" s="1410"/>
      <c r="W207" s="1348"/>
      <c r="X207" s="1350"/>
      <c r="Y207" s="1348"/>
      <c r="Z207" s="1350"/>
      <c r="AA207" s="1348"/>
      <c r="AB207" s="1350"/>
      <c r="AC207" s="1348"/>
      <c r="AD207" s="1350"/>
      <c r="AE207" s="1350"/>
      <c r="AF207" s="1350"/>
      <c r="AG207" s="1352"/>
      <c r="AH207" s="1354"/>
      <c r="AI207" s="1356"/>
      <c r="AJ207" s="1358"/>
      <c r="AK207" s="1342"/>
      <c r="AL207" s="1346"/>
      <c r="AM207" s="1332"/>
      <c r="AN207" s="1338"/>
      <c r="AO207" s="1334"/>
      <c r="AP207" s="1334"/>
      <c r="AQ207" s="1336"/>
      <c r="AR207" s="1316"/>
      <c r="AS207" s="1302"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4"/>
      <c r="AU207" s="1303"/>
      <c r="AV207" s="1304" t="str">
        <f>IF('別紙様式2-2（４・５月分）'!N159="","",'別紙様式2-2（４・５月分）'!N159)</f>
        <v/>
      </c>
      <c r="AW207" s="1305"/>
      <c r="AX207" s="1306"/>
      <c r="AY207" s="1222"/>
      <c r="AZ207" s="1222"/>
      <c r="BA207" s="1222"/>
      <c r="BB207" s="1222"/>
      <c r="BC207" s="1222"/>
      <c r="BD207" s="1222"/>
      <c r="BE207" s="1222"/>
      <c r="BF207" s="1222"/>
      <c r="BG207" s="1222"/>
      <c r="BH207" s="1324"/>
      <c r="BI207" s="1326"/>
      <c r="BJ207" s="1303"/>
      <c r="BK207" s="452" t="str">
        <f>G206</f>
        <v/>
      </c>
    </row>
    <row r="208" spans="1:63" ht="15" customHeight="1">
      <c r="A208" s="1295"/>
      <c r="B208" s="1235"/>
      <c r="C208" s="1236"/>
      <c r="D208" s="1236"/>
      <c r="E208" s="1236"/>
      <c r="F208" s="1237"/>
      <c r="G208" s="1252"/>
      <c r="H208" s="1252"/>
      <c r="I208" s="1252"/>
      <c r="J208" s="1415"/>
      <c r="K208" s="1252"/>
      <c r="L208" s="1276"/>
      <c r="M208" s="1372"/>
      <c r="N208" s="1393"/>
      <c r="O208" s="1373" t="s">
        <v>2025</v>
      </c>
      <c r="P208" s="1375" t="str">
        <f>IFERROR(VLOOKUP('別紙様式2-2（４・５月分）'!AQ158,【参考】数式用!$AR$5:$AT$22,3,FALSE),"")</f>
        <v/>
      </c>
      <c r="Q208" s="1377" t="s">
        <v>2036</v>
      </c>
      <c r="R208" s="1379" t="str">
        <f>IFERROR(VLOOKUP(K206,【参考】数式用!$A$5:$AB$37,MATCH(P208,【参考】数式用!$B$4:$AB$4,0)+1,0),"")</f>
        <v/>
      </c>
      <c r="S208" s="1381" t="s">
        <v>161</v>
      </c>
      <c r="T208" s="1383"/>
      <c r="U208" s="1385" t="str">
        <f>IFERROR(VLOOKUP(K206,【参考】数式用!$A$5:$AB$37,MATCH(T208,【参考】数式用!$B$4:$AB$4,0)+1,0),"")</f>
        <v/>
      </c>
      <c r="V208" s="1387" t="s">
        <v>15</v>
      </c>
      <c r="W208" s="1389">
        <v>7</v>
      </c>
      <c r="X208" s="1363" t="s">
        <v>10</v>
      </c>
      <c r="Y208" s="1389">
        <v>4</v>
      </c>
      <c r="Z208" s="1363" t="s">
        <v>38</v>
      </c>
      <c r="AA208" s="1389">
        <v>8</v>
      </c>
      <c r="AB208" s="1363" t="s">
        <v>10</v>
      </c>
      <c r="AC208" s="1389">
        <v>3</v>
      </c>
      <c r="AD208" s="1363" t="s">
        <v>13</v>
      </c>
      <c r="AE208" s="1363" t="s">
        <v>20</v>
      </c>
      <c r="AF208" s="1363">
        <f>IF(W208&gt;=1,(AA208*12+AC208)-(W208*12+Y208)+1,"")</f>
        <v>12</v>
      </c>
      <c r="AG208" s="1359" t="s">
        <v>33</v>
      </c>
      <c r="AH208" s="1365" t="str">
        <f t="shared" ref="AH208" si="528">IFERROR(ROUNDDOWN(ROUND(L206*U208,0),0)*AF208,"")</f>
        <v/>
      </c>
      <c r="AI208" s="1367" t="str">
        <f t="shared" ref="AI208" si="529">IFERROR(ROUNDDOWN(ROUND((L206*(U208-AW206)),0),0)*AF208,"")</f>
        <v/>
      </c>
      <c r="AJ208" s="1369">
        <f>IFERROR(IF(OR(M206="",M207="",M209=""),0,ROUNDDOWN(ROUNDDOWN(ROUND(L206*VLOOKUP(K206,【参考】数式用!$A$5:$AB$37,MATCH("新加算Ⅳ",【参考】数式用!$B$4:$AB$4,0)+1,0),0),0)*AF208*0.5,0)),"")</f>
        <v>0</v>
      </c>
      <c r="AK208" s="1339" t="str">
        <f t="shared" ref="AK208" si="530">IF(T208&lt;&gt;"","新規に適用","")</f>
        <v/>
      </c>
      <c r="AL208" s="1343">
        <f>IFERROR(IF(OR(M209="ベア加算",M209=""),0, IF(OR(T206="新加算Ⅰ",T206="新加算Ⅱ",T206="新加算Ⅲ",T206="新加算Ⅳ"),0,ROUNDDOWN(ROUND(L206*VLOOKUP(K206,【参考】数式用!$A$5:$I$37,MATCH("ベア加算",【参考】数式用!$B$4:$I$4,0)+1,0),0),0)*AF208)),"")</f>
        <v>0</v>
      </c>
      <c r="AM208" s="1313" t="str">
        <f>IF(AND(T208&lt;&gt;"",AM206=""),"新規に適用",IF(AND(T208&lt;&gt;"",AM206&lt;&gt;""),"継続で適用",""))</f>
        <v/>
      </c>
      <c r="AN208" s="1313" t="str">
        <f>IF(AND(T208&lt;&gt;"",AN206=""),"新規に適用",IF(AND(T208&lt;&gt;"",AN206&lt;&gt;""),"継続で適用",""))</f>
        <v/>
      </c>
      <c r="AO208" s="1361"/>
      <c r="AP208" s="1313" t="str">
        <f>IF(AND(T208&lt;&gt;"",AP206=""),"新規に適用",IF(AND(T208&lt;&gt;"",AP206&lt;&gt;""),"継続で適用",""))</f>
        <v/>
      </c>
      <c r="AQ208" s="1317" t="str">
        <f t="shared" si="420"/>
        <v/>
      </c>
      <c r="AR208" s="1313" t="str">
        <f>IF(AND(T208&lt;&gt;"",AR206=""),"新規に適用",IF(AND(T208&lt;&gt;"",AR206&lt;&gt;""),"継続で適用",""))</f>
        <v/>
      </c>
      <c r="AS208" s="1302"/>
      <c r="AT208" s="554"/>
      <c r="AU208" s="1303" t="str">
        <f>IF(K206&lt;&gt;"","V列に色付け","")</f>
        <v/>
      </c>
      <c r="AV208" s="1304"/>
      <c r="AW208" s="1305"/>
      <c r="AX208"/>
      <c r="AY208"/>
      <c r="AZ208"/>
      <c r="BA208"/>
      <c r="BB208"/>
      <c r="BC208"/>
      <c r="BD208"/>
      <c r="BE208"/>
      <c r="BF208"/>
      <c r="BG208"/>
      <c r="BH208"/>
      <c r="BI208"/>
      <c r="BJ208"/>
      <c r="BK208" s="452" t="str">
        <f>G206</f>
        <v/>
      </c>
    </row>
    <row r="209" spans="1:63" ht="30" customHeight="1" thickBot="1">
      <c r="A209" s="1268"/>
      <c r="B209" s="1411"/>
      <c r="C209" s="1412"/>
      <c r="D209" s="1412"/>
      <c r="E209" s="1412"/>
      <c r="F209" s="1413"/>
      <c r="G209" s="1253"/>
      <c r="H209" s="1253"/>
      <c r="I209" s="1253"/>
      <c r="J209" s="1416"/>
      <c r="K209" s="1253"/>
      <c r="L209" s="1277"/>
      <c r="M209" s="553" t="str">
        <f>IF('別紙様式2-2（４・５月分）'!P160="","",'別紙様式2-2（４・５月分）'!P160)</f>
        <v/>
      </c>
      <c r="N209" s="1394"/>
      <c r="O209" s="1374"/>
      <c r="P209" s="1376"/>
      <c r="Q209" s="1378"/>
      <c r="R209" s="1380"/>
      <c r="S209" s="1382"/>
      <c r="T209" s="1384"/>
      <c r="U209" s="1386"/>
      <c r="V209" s="1388"/>
      <c r="W209" s="1390"/>
      <c r="X209" s="1364"/>
      <c r="Y209" s="1390"/>
      <c r="Z209" s="1364"/>
      <c r="AA209" s="1390"/>
      <c r="AB209" s="1364"/>
      <c r="AC209" s="1390"/>
      <c r="AD209" s="1364"/>
      <c r="AE209" s="1364"/>
      <c r="AF209" s="1364"/>
      <c r="AG209" s="1360"/>
      <c r="AH209" s="1366"/>
      <c r="AI209" s="1368"/>
      <c r="AJ209" s="1370"/>
      <c r="AK209" s="1340"/>
      <c r="AL209" s="1344"/>
      <c r="AM209" s="1314"/>
      <c r="AN209" s="1314"/>
      <c r="AO209" s="1362"/>
      <c r="AP209" s="1314"/>
      <c r="AQ209" s="1318"/>
      <c r="AR209" s="1314"/>
      <c r="AS209" s="490"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4"/>
      <c r="AU209" s="1303"/>
      <c r="AV209" s="555" t="str">
        <f>IF('別紙様式2-2（４・５月分）'!N160="","",'別紙様式2-2（４・５月分）'!N160)</f>
        <v/>
      </c>
      <c r="AW209" s="1305"/>
      <c r="AX209"/>
      <c r="AY209"/>
      <c r="AZ209"/>
      <c r="BA209"/>
      <c r="BB209"/>
      <c r="BC209"/>
      <c r="BD209"/>
      <c r="BE209"/>
      <c r="BF209"/>
      <c r="BG209"/>
      <c r="BH209"/>
      <c r="BI209"/>
      <c r="BJ209"/>
      <c r="BK209" s="452" t="str">
        <f>G206</f>
        <v/>
      </c>
    </row>
    <row r="210" spans="1:63" ht="30" customHeight="1">
      <c r="A210" s="1293">
        <v>50</v>
      </c>
      <c r="B210" s="1235" t="str">
        <f>IF(基本情報入力シート!C103="","",基本情報入力シート!C103)</f>
        <v/>
      </c>
      <c r="C210" s="1236"/>
      <c r="D210" s="1236"/>
      <c r="E210" s="1236"/>
      <c r="F210" s="1237"/>
      <c r="G210" s="1252" t="str">
        <f>IF(基本情報入力シート!M103="","",基本情報入力シート!M103)</f>
        <v/>
      </c>
      <c r="H210" s="1252" t="str">
        <f>IF(基本情報入力シート!R103="","",基本情報入力シート!R103)</f>
        <v/>
      </c>
      <c r="I210" s="1252" t="str">
        <f>IF(基本情報入力シート!W103="","",基本情報入力シート!W103)</f>
        <v/>
      </c>
      <c r="J210" s="1415" t="str">
        <f>IF(基本情報入力シート!X103="","",基本情報入力シート!X103)</f>
        <v/>
      </c>
      <c r="K210" s="1252" t="str">
        <f>IF(基本情報入力シート!Y103="","",基本情報入力シート!Y103)</f>
        <v/>
      </c>
      <c r="L210" s="1276" t="str">
        <f>IF(基本情報入力シート!AB103="","",基本情報入力シート!AB103)</f>
        <v/>
      </c>
      <c r="M210" s="550" t="str">
        <f>IF('別紙様式2-2（４・５月分）'!P161="","",'別紙様式2-2（４・５月分）'!P161)</f>
        <v/>
      </c>
      <c r="N210" s="1391" t="str">
        <f>IF(SUM('別紙様式2-2（４・５月分）'!Q161:Q163)=0,"",SUM('別紙様式2-2（４・５月分）'!Q161:Q163))</f>
        <v/>
      </c>
      <c r="O210" s="1395" t="str">
        <f>IFERROR(VLOOKUP('別紙様式2-2（４・５月分）'!AQ161,【参考】数式用!$AR$5:$AS$22,2,FALSE),"")</f>
        <v/>
      </c>
      <c r="P210" s="1396"/>
      <c r="Q210" s="1397"/>
      <c r="R210" s="1401" t="str">
        <f>IFERROR(VLOOKUP(K210,【参考】数式用!$A$5:$AB$37,MATCH(O210,【参考】数式用!$B$4:$AB$4,0)+1,0),"")</f>
        <v/>
      </c>
      <c r="S210" s="1403" t="s">
        <v>2021</v>
      </c>
      <c r="T210" s="1405"/>
      <c r="U210" s="1407" t="str">
        <f>IFERROR(VLOOKUP(K210,【参考】数式用!$A$5:$AB$37,MATCH(T210,【参考】数式用!$B$4:$AB$4,0)+1,0),"")</f>
        <v/>
      </c>
      <c r="V210" s="1409" t="s">
        <v>15</v>
      </c>
      <c r="W210" s="1347">
        <v>6</v>
      </c>
      <c r="X210" s="1349" t="s">
        <v>10</v>
      </c>
      <c r="Y210" s="1347">
        <v>6</v>
      </c>
      <c r="Z210" s="1349" t="s">
        <v>38</v>
      </c>
      <c r="AA210" s="1347">
        <v>7</v>
      </c>
      <c r="AB210" s="1349" t="s">
        <v>10</v>
      </c>
      <c r="AC210" s="1347">
        <v>3</v>
      </c>
      <c r="AD210" s="1349" t="s">
        <v>13</v>
      </c>
      <c r="AE210" s="1349" t="s">
        <v>20</v>
      </c>
      <c r="AF210" s="1349">
        <f>IF(W210&gt;=1,(AA210*12+AC210)-(W210*12+Y210)+1,"")</f>
        <v>10</v>
      </c>
      <c r="AG210" s="1351" t="s">
        <v>33</v>
      </c>
      <c r="AH210" s="1353" t="str">
        <f t="shared" ref="AH210" si="532">IFERROR(ROUNDDOWN(ROUND(L210*U210,0),0)*AF210,"")</f>
        <v/>
      </c>
      <c r="AI210" s="1355" t="str">
        <f t="shared" ref="AI210" si="533">IFERROR(ROUNDDOWN(ROUND((L210*(U210-AW210)),0),0)*AF210,"")</f>
        <v/>
      </c>
      <c r="AJ210" s="1357">
        <f>IFERROR(IF(OR(M210="",M211="",M213=""),0,ROUNDDOWN(ROUNDDOWN(ROUND(L210*VLOOKUP(K210,【参考】数式用!$A$5:$AB$37,MATCH("新加算Ⅳ",【参考】数式用!$B$4:$AB$4,0)+1,0),0),0)*AF210*0.5,0)),"")</f>
        <v>0</v>
      </c>
      <c r="AK210" s="1341"/>
      <c r="AL210" s="1345">
        <f>IFERROR(IF(OR(M213="ベア加算",M213=""),0, IF(OR(T210="新加算Ⅰ",T210="新加算Ⅱ",T210="新加算Ⅲ",T210="新加算Ⅳ"),ROUNDDOWN(ROUND(L210*VLOOKUP(K210,【参考】数式用!$A$5:$I$37,MATCH("ベア加算",【参考】数式用!$B$4:$I$4,0)+1,0),0),0)*AF210,0)),"")</f>
        <v>0</v>
      </c>
      <c r="AM210" s="1331"/>
      <c r="AN210" s="1337"/>
      <c r="AO210" s="1333"/>
      <c r="AP210" s="1333"/>
      <c r="AQ210" s="1335"/>
      <c r="AR210" s="1315"/>
      <c r="AS210" s="465" t="str">
        <f t="shared" ref="AS210" si="534">IF(AU210="","",IF(U210&lt;N210,"！加算の要件上は問題ありませんが、令和６年４・５月と比較して令和６年６月に加算率が下がる計画になっています。",""))</f>
        <v/>
      </c>
      <c r="AT210" s="554"/>
      <c r="AU210" s="1303" t="str">
        <f>IF(K210&lt;&gt;"","V列に色付け","")</f>
        <v/>
      </c>
      <c r="AV210" s="555" t="str">
        <f>IF('別紙様式2-2（４・５月分）'!N161="","",'別紙様式2-2（４・５月分）'!N161)</f>
        <v/>
      </c>
      <c r="AW210" s="1305" t="str">
        <f>IF(SUM('別紙様式2-2（４・５月分）'!O161:O163)=0,"",SUM('別紙様式2-2（４・５月分）'!O161:O163))</f>
        <v/>
      </c>
      <c r="AX210" s="1306" t="str">
        <f>IFERROR(VLOOKUP(K210,【参考】数式用!$AH$2:$AI$34,2,FALSE),"")</f>
        <v/>
      </c>
      <c r="AY210" s="1222" t="s">
        <v>1959</v>
      </c>
      <c r="AZ210" s="1222" t="s">
        <v>1960</v>
      </c>
      <c r="BA210" s="1222" t="s">
        <v>1961</v>
      </c>
      <c r="BB210" s="1222" t="s">
        <v>1962</v>
      </c>
      <c r="BC210" s="1222" t="str">
        <f>IF(AND(O210&lt;&gt;"新加算Ⅰ",O210&lt;&gt;"新加算Ⅱ",O210&lt;&gt;"新加算Ⅲ",O210&lt;&gt;"新加算Ⅳ"),O210,IF(P212&lt;&gt;"",P212,""))</f>
        <v/>
      </c>
      <c r="BD210" s="1222"/>
      <c r="BE210" s="1222" t="str">
        <f t="shared" ref="BE210" si="535">IF(AL210&lt;&gt;0,IF(AM210="○","入力済","未入力"),"")</f>
        <v/>
      </c>
      <c r="BF210" s="1222"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2" t="str">
        <f>IF(OR(T210="新加算Ⅴ（７）",T210="新加算Ⅴ（９）",T210="新加算Ⅴ（10）",T210="新加算Ⅴ（12）",T210="新加算Ⅴ（13）",T210="新加算Ⅴ（14）"),IF(OR(AO210="○",AO210="令和６年度中に満たす"),"入力済","未入力"),"")</f>
        <v/>
      </c>
      <c r="BH210" s="1323" t="str">
        <f t="shared" ref="BH210" si="536">IF(OR(T210="新加算Ⅰ",T210="新加算Ⅱ",T210="新加算Ⅲ",T210="新加算Ⅴ（１）",T210="新加算Ⅴ（３）",T210="新加算Ⅴ（８）"),IF(OR(AP210="○",AP210="令和６年度中に満たす"),"入力済","未入力"),"")</f>
        <v/>
      </c>
      <c r="BI210" s="1325" t="str">
        <f t="shared" ref="BI210" si="537">IF(OR(T210="新加算Ⅰ",T210="新加算Ⅱ",T210="新加算Ⅴ（１）",T210="新加算Ⅴ（２）",T210="新加算Ⅴ（３）",T210="新加算Ⅴ（４）",T210="新加算Ⅴ（５）",T210="新加算Ⅴ（６）",T210="新加算Ⅴ（７）",T210="新加算Ⅴ（９）",T210="新加算Ⅴ（10）",T210="新加算Ⅴ（12）"),1,"")</f>
        <v/>
      </c>
      <c r="BJ210" s="1303" t="str">
        <f>IF(OR(T210="新加算Ⅰ",T210="新加算Ⅴ（１）",T210="新加算Ⅴ（２）",T210="新加算Ⅴ（５）",T210="新加算Ⅴ（７）",T210="新加算Ⅴ（10）"),IF(AR210="","未入力","入力済"),"")</f>
        <v/>
      </c>
      <c r="BK210" s="452" t="str">
        <f>G210</f>
        <v/>
      </c>
    </row>
    <row r="211" spans="1:63" ht="15" customHeight="1">
      <c r="A211" s="1267"/>
      <c r="B211" s="1235"/>
      <c r="C211" s="1236"/>
      <c r="D211" s="1236"/>
      <c r="E211" s="1236"/>
      <c r="F211" s="1237"/>
      <c r="G211" s="1252"/>
      <c r="H211" s="1252"/>
      <c r="I211" s="1252"/>
      <c r="J211" s="1415"/>
      <c r="K211" s="1252"/>
      <c r="L211" s="1276"/>
      <c r="M211" s="1371" t="str">
        <f>IF('別紙様式2-2（４・５月分）'!P162="","",'別紙様式2-2（４・５月分）'!P162)</f>
        <v/>
      </c>
      <c r="N211" s="1392"/>
      <c r="O211" s="1398"/>
      <c r="P211" s="1399"/>
      <c r="Q211" s="1400"/>
      <c r="R211" s="1402"/>
      <c r="S211" s="1404"/>
      <c r="T211" s="1406"/>
      <c r="U211" s="1408"/>
      <c r="V211" s="1410"/>
      <c r="W211" s="1348"/>
      <c r="X211" s="1350"/>
      <c r="Y211" s="1348"/>
      <c r="Z211" s="1350"/>
      <c r="AA211" s="1348"/>
      <c r="AB211" s="1350"/>
      <c r="AC211" s="1348"/>
      <c r="AD211" s="1350"/>
      <c r="AE211" s="1350"/>
      <c r="AF211" s="1350"/>
      <c r="AG211" s="1352"/>
      <c r="AH211" s="1354"/>
      <c r="AI211" s="1356"/>
      <c r="AJ211" s="1358"/>
      <c r="AK211" s="1342"/>
      <c r="AL211" s="1346"/>
      <c r="AM211" s="1332"/>
      <c r="AN211" s="1338"/>
      <c r="AO211" s="1334"/>
      <c r="AP211" s="1334"/>
      <c r="AQ211" s="1336"/>
      <c r="AR211" s="1316"/>
      <c r="AS211" s="1302"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4"/>
      <c r="AU211" s="1303"/>
      <c r="AV211" s="1304" t="str">
        <f>IF('別紙様式2-2（４・５月分）'!N162="","",'別紙様式2-2（４・５月分）'!N162)</f>
        <v/>
      </c>
      <c r="AW211" s="1305"/>
      <c r="AX211" s="1306"/>
      <c r="AY211" s="1222"/>
      <c r="AZ211" s="1222"/>
      <c r="BA211" s="1222"/>
      <c r="BB211" s="1222"/>
      <c r="BC211" s="1222"/>
      <c r="BD211" s="1222"/>
      <c r="BE211" s="1222"/>
      <c r="BF211" s="1222"/>
      <c r="BG211" s="1222"/>
      <c r="BH211" s="1324"/>
      <c r="BI211" s="1326"/>
      <c r="BJ211" s="1303"/>
      <c r="BK211" s="452" t="str">
        <f>G210</f>
        <v/>
      </c>
    </row>
    <row r="212" spans="1:63" ht="15" customHeight="1">
      <c r="A212" s="1295"/>
      <c r="B212" s="1235"/>
      <c r="C212" s="1236"/>
      <c r="D212" s="1236"/>
      <c r="E212" s="1236"/>
      <c r="F212" s="1237"/>
      <c r="G212" s="1252"/>
      <c r="H212" s="1252"/>
      <c r="I212" s="1252"/>
      <c r="J212" s="1415"/>
      <c r="K212" s="1252"/>
      <c r="L212" s="1276"/>
      <c r="M212" s="1372"/>
      <c r="N212" s="1393"/>
      <c r="O212" s="1373" t="s">
        <v>2025</v>
      </c>
      <c r="P212" s="1375" t="str">
        <f>IFERROR(VLOOKUP('別紙様式2-2（４・５月分）'!AQ161,【参考】数式用!$AR$5:$AT$22,3,FALSE),"")</f>
        <v/>
      </c>
      <c r="Q212" s="1377" t="s">
        <v>2036</v>
      </c>
      <c r="R212" s="1379" t="str">
        <f>IFERROR(VLOOKUP(K210,【参考】数式用!$A$5:$AB$37,MATCH(P212,【参考】数式用!$B$4:$AB$4,0)+1,0),"")</f>
        <v/>
      </c>
      <c r="S212" s="1381" t="s">
        <v>161</v>
      </c>
      <c r="T212" s="1383"/>
      <c r="U212" s="1385" t="str">
        <f>IFERROR(VLOOKUP(K210,【参考】数式用!$A$5:$AB$37,MATCH(T212,【参考】数式用!$B$4:$AB$4,0)+1,0),"")</f>
        <v/>
      </c>
      <c r="V212" s="1387" t="s">
        <v>15</v>
      </c>
      <c r="W212" s="1389">
        <v>7</v>
      </c>
      <c r="X212" s="1363" t="s">
        <v>10</v>
      </c>
      <c r="Y212" s="1389">
        <v>4</v>
      </c>
      <c r="Z212" s="1363" t="s">
        <v>38</v>
      </c>
      <c r="AA212" s="1389">
        <v>8</v>
      </c>
      <c r="AB212" s="1363" t="s">
        <v>10</v>
      </c>
      <c r="AC212" s="1389">
        <v>3</v>
      </c>
      <c r="AD212" s="1363" t="s">
        <v>13</v>
      </c>
      <c r="AE212" s="1363" t="s">
        <v>20</v>
      </c>
      <c r="AF212" s="1363">
        <f>IF(W212&gt;=1,(AA212*12+AC212)-(W212*12+Y212)+1,"")</f>
        <v>12</v>
      </c>
      <c r="AG212" s="1359" t="s">
        <v>33</v>
      </c>
      <c r="AH212" s="1365" t="str">
        <f t="shared" ref="AH212" si="539">IFERROR(ROUNDDOWN(ROUND(L210*U212,0),0)*AF212,"")</f>
        <v/>
      </c>
      <c r="AI212" s="1367" t="str">
        <f t="shared" ref="AI212" si="540">IFERROR(ROUNDDOWN(ROUND((L210*(U212-AW210)),0),0)*AF212,"")</f>
        <v/>
      </c>
      <c r="AJ212" s="1369">
        <f>IFERROR(IF(OR(M210="",M211="",M213=""),0,ROUNDDOWN(ROUNDDOWN(ROUND(L210*VLOOKUP(K210,【参考】数式用!$A$5:$AB$37,MATCH("新加算Ⅳ",【参考】数式用!$B$4:$AB$4,0)+1,0),0),0)*AF212*0.5,0)),"")</f>
        <v>0</v>
      </c>
      <c r="AK212" s="1339" t="str">
        <f t="shared" ref="AK212" si="541">IF(T212&lt;&gt;"","新規に適用","")</f>
        <v/>
      </c>
      <c r="AL212" s="1343">
        <f>IFERROR(IF(OR(M213="ベア加算",M213=""),0, IF(OR(T210="新加算Ⅰ",T210="新加算Ⅱ",T210="新加算Ⅲ",T210="新加算Ⅳ"),0,ROUNDDOWN(ROUND(L210*VLOOKUP(K210,【参考】数式用!$A$5:$I$37,MATCH("ベア加算",【参考】数式用!$B$4:$I$4,0)+1,0),0),0)*AF212)),"")</f>
        <v>0</v>
      </c>
      <c r="AM212" s="1313" t="str">
        <f>IF(AND(T212&lt;&gt;"",AM210=""),"新規に適用",IF(AND(T212&lt;&gt;"",AM210&lt;&gt;""),"継続で適用",""))</f>
        <v/>
      </c>
      <c r="AN212" s="1313" t="str">
        <f>IF(AND(T212&lt;&gt;"",AN210=""),"新規に適用",IF(AND(T212&lt;&gt;"",AN210&lt;&gt;""),"継続で適用",""))</f>
        <v/>
      </c>
      <c r="AO212" s="1361"/>
      <c r="AP212" s="1313" t="str">
        <f>IF(AND(T212&lt;&gt;"",AP210=""),"新規に適用",IF(AND(T212&lt;&gt;"",AP210&lt;&gt;""),"継続で適用",""))</f>
        <v/>
      </c>
      <c r="AQ212" s="1317" t="str">
        <f t="shared" si="420"/>
        <v/>
      </c>
      <c r="AR212" s="1313" t="str">
        <f>IF(AND(T212&lt;&gt;"",AR210=""),"新規に適用",IF(AND(T212&lt;&gt;"",AR210&lt;&gt;""),"継続で適用",""))</f>
        <v/>
      </c>
      <c r="AS212" s="1302"/>
      <c r="AT212" s="554"/>
      <c r="AU212" s="1303" t="str">
        <f>IF(K210&lt;&gt;"","V列に色付け","")</f>
        <v/>
      </c>
      <c r="AV212" s="1304"/>
      <c r="AW212" s="1305"/>
      <c r="AX212"/>
      <c r="AY212"/>
      <c r="AZ212"/>
      <c r="BA212"/>
      <c r="BB212"/>
      <c r="BC212"/>
      <c r="BD212"/>
      <c r="BE212"/>
      <c r="BF212"/>
      <c r="BG212"/>
      <c r="BH212"/>
      <c r="BI212"/>
      <c r="BJ212"/>
      <c r="BK212" s="452" t="str">
        <f>G210</f>
        <v/>
      </c>
    </row>
    <row r="213" spans="1:63" ht="30" customHeight="1" thickBot="1">
      <c r="A213" s="1268"/>
      <c r="B213" s="1411"/>
      <c r="C213" s="1412"/>
      <c r="D213" s="1412"/>
      <c r="E213" s="1412"/>
      <c r="F213" s="1413"/>
      <c r="G213" s="1253"/>
      <c r="H213" s="1253"/>
      <c r="I213" s="1253"/>
      <c r="J213" s="1416"/>
      <c r="K213" s="1253"/>
      <c r="L213" s="1277"/>
      <c r="M213" s="553" t="str">
        <f>IF('別紙様式2-2（４・５月分）'!P163="","",'別紙様式2-2（４・５月分）'!P163)</f>
        <v/>
      </c>
      <c r="N213" s="1394"/>
      <c r="O213" s="1374"/>
      <c r="P213" s="1376"/>
      <c r="Q213" s="1378"/>
      <c r="R213" s="1380"/>
      <c r="S213" s="1382"/>
      <c r="T213" s="1384"/>
      <c r="U213" s="1386"/>
      <c r="V213" s="1388"/>
      <c r="W213" s="1390"/>
      <c r="X213" s="1364"/>
      <c r="Y213" s="1390"/>
      <c r="Z213" s="1364"/>
      <c r="AA213" s="1390"/>
      <c r="AB213" s="1364"/>
      <c r="AC213" s="1390"/>
      <c r="AD213" s="1364"/>
      <c r="AE213" s="1364"/>
      <c r="AF213" s="1364"/>
      <c r="AG213" s="1360"/>
      <c r="AH213" s="1366"/>
      <c r="AI213" s="1368"/>
      <c r="AJ213" s="1370"/>
      <c r="AK213" s="1340"/>
      <c r="AL213" s="1344"/>
      <c r="AM213" s="1314"/>
      <c r="AN213" s="1314"/>
      <c r="AO213" s="1362"/>
      <c r="AP213" s="1314"/>
      <c r="AQ213" s="1318"/>
      <c r="AR213" s="1314"/>
      <c r="AS213" s="490"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4"/>
      <c r="AU213" s="1303"/>
      <c r="AV213" s="555" t="str">
        <f>IF('別紙様式2-2（４・５月分）'!N163="","",'別紙様式2-2（４・５月分）'!N163)</f>
        <v/>
      </c>
      <c r="AW213" s="1305"/>
      <c r="AX213"/>
      <c r="AY213"/>
      <c r="AZ213"/>
      <c r="BA213"/>
      <c r="BB213"/>
      <c r="BC213"/>
      <c r="BD213"/>
      <c r="BE213"/>
      <c r="BF213"/>
      <c r="BG213"/>
      <c r="BH213"/>
      <c r="BI213"/>
      <c r="BJ213"/>
      <c r="BK213" s="452" t="str">
        <f>G210</f>
        <v/>
      </c>
    </row>
    <row r="214" spans="1:63" ht="30" customHeight="1">
      <c r="A214" s="1266">
        <v>51</v>
      </c>
      <c r="B214" s="1232" t="str">
        <f>IF(基本情報入力シート!C104="","",基本情報入力シート!C104)</f>
        <v/>
      </c>
      <c r="C214" s="1233"/>
      <c r="D214" s="1233"/>
      <c r="E214" s="1233"/>
      <c r="F214" s="1234"/>
      <c r="G214" s="1251" t="str">
        <f>IF(基本情報入力シート!M104="","",基本情報入力シート!M104)</f>
        <v/>
      </c>
      <c r="H214" s="1251" t="str">
        <f>IF(基本情報入力シート!R104="","",基本情報入力シート!R104)</f>
        <v/>
      </c>
      <c r="I214" s="1251" t="str">
        <f>IF(基本情報入力シート!W104="","",基本情報入力シート!W104)</f>
        <v/>
      </c>
      <c r="J214" s="1414" t="str">
        <f>IF(基本情報入力シート!X104="","",基本情報入力シート!X104)</f>
        <v/>
      </c>
      <c r="K214" s="1251" t="str">
        <f>IF(基本情報入力シート!Y104="","",基本情報入力シート!Y104)</f>
        <v/>
      </c>
      <c r="L214" s="1275" t="str">
        <f>IF(基本情報入力シート!AB104="","",基本情報入力シート!AB104)</f>
        <v/>
      </c>
      <c r="M214" s="550" t="str">
        <f>IF('別紙様式2-2（４・５月分）'!P164="","",'別紙様式2-2（４・５月分）'!P164)</f>
        <v/>
      </c>
      <c r="N214" s="1391" t="str">
        <f>IF(SUM('別紙様式2-2（４・５月分）'!Q164:Q166)=0,"",SUM('別紙様式2-2（４・５月分）'!Q164:Q166))</f>
        <v/>
      </c>
      <c r="O214" s="1395" t="str">
        <f>IFERROR(VLOOKUP('別紙様式2-2（４・５月分）'!AQ164,【参考】数式用!$AR$5:$AS$22,2,FALSE),"")</f>
        <v/>
      </c>
      <c r="P214" s="1396"/>
      <c r="Q214" s="1397"/>
      <c r="R214" s="1401" t="str">
        <f>IFERROR(VLOOKUP(K214,【参考】数式用!$A$5:$AB$37,MATCH(O214,【参考】数式用!$B$4:$AB$4,0)+1,0),"")</f>
        <v/>
      </c>
      <c r="S214" s="1403" t="s">
        <v>2021</v>
      </c>
      <c r="T214" s="1405"/>
      <c r="U214" s="1407" t="str">
        <f>IFERROR(VLOOKUP(K214,【参考】数式用!$A$5:$AB$37,MATCH(T214,【参考】数式用!$B$4:$AB$4,0)+1,0),"")</f>
        <v/>
      </c>
      <c r="V214" s="1409" t="s">
        <v>15</v>
      </c>
      <c r="W214" s="1347">
        <v>6</v>
      </c>
      <c r="X214" s="1349" t="s">
        <v>10</v>
      </c>
      <c r="Y214" s="1347">
        <v>6</v>
      </c>
      <c r="Z214" s="1349" t="s">
        <v>38</v>
      </c>
      <c r="AA214" s="1347">
        <v>7</v>
      </c>
      <c r="AB214" s="1349" t="s">
        <v>10</v>
      </c>
      <c r="AC214" s="1347">
        <v>3</v>
      </c>
      <c r="AD214" s="1349" t="s">
        <v>13</v>
      </c>
      <c r="AE214" s="1349" t="s">
        <v>20</v>
      </c>
      <c r="AF214" s="1349">
        <f>IF(W214&gt;=1,(AA214*12+AC214)-(W214*12+Y214)+1,"")</f>
        <v>10</v>
      </c>
      <c r="AG214" s="1351" t="s">
        <v>33</v>
      </c>
      <c r="AH214" s="1353" t="str">
        <f t="shared" ref="AH214" si="543">IFERROR(ROUNDDOWN(ROUND(L214*U214,0),0)*AF214,"")</f>
        <v/>
      </c>
      <c r="AI214" s="1355" t="str">
        <f t="shared" ref="AI214" si="544">IFERROR(ROUNDDOWN(ROUND((L214*(U214-AW214)),0),0)*AF214,"")</f>
        <v/>
      </c>
      <c r="AJ214" s="1357">
        <f>IFERROR(IF(OR(M214="",M215="",M217=""),0,ROUNDDOWN(ROUNDDOWN(ROUND(L214*VLOOKUP(K214,【参考】数式用!$A$5:$AB$37,MATCH("新加算Ⅳ",【参考】数式用!$B$4:$AB$4,0)+1,0),0),0)*AF214*0.5,0)),"")</f>
        <v>0</v>
      </c>
      <c r="AK214" s="1341"/>
      <c r="AL214" s="1345">
        <f>IFERROR(IF(OR(M217="ベア加算",M217=""),0, IF(OR(T214="新加算Ⅰ",T214="新加算Ⅱ",T214="新加算Ⅲ",T214="新加算Ⅳ"),ROUNDDOWN(ROUND(L214*VLOOKUP(K214,【参考】数式用!$A$5:$I$37,MATCH("ベア加算",【参考】数式用!$B$4:$I$4,0)+1,0),0),0)*AF214,0)),"")</f>
        <v>0</v>
      </c>
      <c r="AM214" s="1331"/>
      <c r="AN214" s="1337"/>
      <c r="AO214" s="1333"/>
      <c r="AP214" s="1333"/>
      <c r="AQ214" s="1335"/>
      <c r="AR214" s="1315"/>
      <c r="AS214" s="465" t="str">
        <f t="shared" ref="AS214" si="545">IF(AU214="","",IF(U214&lt;N214,"！加算の要件上は問題ありませんが、令和６年４・５月と比較して令和６年６月に加算率が下がる計画になっています。",""))</f>
        <v/>
      </c>
      <c r="AT214" s="554"/>
      <c r="AU214" s="1303" t="str">
        <f>IF(K214&lt;&gt;"","V列に色付け","")</f>
        <v/>
      </c>
      <c r="AV214" s="555" t="str">
        <f>IF('別紙様式2-2（４・５月分）'!N164="","",'別紙様式2-2（４・５月分）'!N164)</f>
        <v/>
      </c>
      <c r="AW214" s="1305" t="str">
        <f>IF(SUM('別紙様式2-2（４・５月分）'!O164:O166)=0,"",SUM('別紙様式2-2（４・５月分）'!O164:O166))</f>
        <v/>
      </c>
      <c r="AX214" s="1306" t="str">
        <f>IFERROR(VLOOKUP(K214,【参考】数式用!$AH$2:$AI$34,2,FALSE),"")</f>
        <v/>
      </c>
      <c r="AY214" s="1222" t="s">
        <v>1959</v>
      </c>
      <c r="AZ214" s="1222" t="s">
        <v>1960</v>
      </c>
      <c r="BA214" s="1222" t="s">
        <v>1961</v>
      </c>
      <c r="BB214" s="1222" t="s">
        <v>1962</v>
      </c>
      <c r="BC214" s="1222" t="str">
        <f>IF(AND(O214&lt;&gt;"新加算Ⅰ",O214&lt;&gt;"新加算Ⅱ",O214&lt;&gt;"新加算Ⅲ",O214&lt;&gt;"新加算Ⅳ"),O214,IF(P216&lt;&gt;"",P216,""))</f>
        <v/>
      </c>
      <c r="BD214" s="1222"/>
      <c r="BE214" s="1222" t="str">
        <f t="shared" ref="BE214" si="546">IF(AL214&lt;&gt;0,IF(AM214="○","入力済","未入力"),"")</f>
        <v/>
      </c>
      <c r="BF214" s="1222"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2" t="str">
        <f>IF(OR(T214="新加算Ⅴ（７）",T214="新加算Ⅴ（９）",T214="新加算Ⅴ（10）",T214="新加算Ⅴ（12）",T214="新加算Ⅴ（13）",T214="新加算Ⅴ（14）"),IF(OR(AO214="○",AO214="令和６年度中に満たす"),"入力済","未入力"),"")</f>
        <v/>
      </c>
      <c r="BH214" s="1323" t="str">
        <f t="shared" ref="BH214" si="547">IF(OR(T214="新加算Ⅰ",T214="新加算Ⅱ",T214="新加算Ⅲ",T214="新加算Ⅴ（１）",T214="新加算Ⅴ（３）",T214="新加算Ⅴ（８）"),IF(OR(AP214="○",AP214="令和６年度中に満たす"),"入力済","未入力"),"")</f>
        <v/>
      </c>
      <c r="BI214" s="1325" t="str">
        <f t="shared" ref="BI214" si="548">IF(OR(T214="新加算Ⅰ",T214="新加算Ⅱ",T214="新加算Ⅴ（１）",T214="新加算Ⅴ（２）",T214="新加算Ⅴ（３）",T214="新加算Ⅴ（４）",T214="新加算Ⅴ（５）",T214="新加算Ⅴ（６）",T214="新加算Ⅴ（７）",T214="新加算Ⅴ（９）",T214="新加算Ⅴ（10）",T214="新加算Ⅴ（12）"),1,"")</f>
        <v/>
      </c>
      <c r="BJ214" s="1303" t="str">
        <f>IF(OR(T214="新加算Ⅰ",T214="新加算Ⅴ（１）",T214="新加算Ⅴ（２）",T214="新加算Ⅴ（５）",T214="新加算Ⅴ（７）",T214="新加算Ⅴ（10）"),IF(AR214="","未入力","入力済"),"")</f>
        <v/>
      </c>
      <c r="BK214" s="452" t="str">
        <f>G214</f>
        <v/>
      </c>
    </row>
    <row r="215" spans="1:63" ht="15" customHeight="1">
      <c r="A215" s="1267"/>
      <c r="B215" s="1235"/>
      <c r="C215" s="1236"/>
      <c r="D215" s="1236"/>
      <c r="E215" s="1236"/>
      <c r="F215" s="1237"/>
      <c r="G215" s="1252"/>
      <c r="H215" s="1252"/>
      <c r="I215" s="1252"/>
      <c r="J215" s="1415"/>
      <c r="K215" s="1252"/>
      <c r="L215" s="1276"/>
      <c r="M215" s="1371" t="str">
        <f>IF('別紙様式2-2（４・５月分）'!P165="","",'別紙様式2-2（４・５月分）'!P165)</f>
        <v/>
      </c>
      <c r="N215" s="1392"/>
      <c r="O215" s="1398"/>
      <c r="P215" s="1399"/>
      <c r="Q215" s="1400"/>
      <c r="R215" s="1402"/>
      <c r="S215" s="1404"/>
      <c r="T215" s="1406"/>
      <c r="U215" s="1408"/>
      <c r="V215" s="1410"/>
      <c r="W215" s="1348"/>
      <c r="X215" s="1350"/>
      <c r="Y215" s="1348"/>
      <c r="Z215" s="1350"/>
      <c r="AA215" s="1348"/>
      <c r="AB215" s="1350"/>
      <c r="AC215" s="1348"/>
      <c r="AD215" s="1350"/>
      <c r="AE215" s="1350"/>
      <c r="AF215" s="1350"/>
      <c r="AG215" s="1352"/>
      <c r="AH215" s="1354"/>
      <c r="AI215" s="1356"/>
      <c r="AJ215" s="1358"/>
      <c r="AK215" s="1342"/>
      <c r="AL215" s="1346"/>
      <c r="AM215" s="1332"/>
      <c r="AN215" s="1338"/>
      <c r="AO215" s="1334"/>
      <c r="AP215" s="1334"/>
      <c r="AQ215" s="1336"/>
      <c r="AR215" s="1316"/>
      <c r="AS215" s="1302"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4"/>
      <c r="AU215" s="1303"/>
      <c r="AV215" s="1304" t="str">
        <f>IF('別紙様式2-2（４・５月分）'!N165="","",'別紙様式2-2（４・５月分）'!N165)</f>
        <v/>
      </c>
      <c r="AW215" s="1305"/>
      <c r="AX215" s="1306"/>
      <c r="AY215" s="1222"/>
      <c r="AZ215" s="1222"/>
      <c r="BA215" s="1222"/>
      <c r="BB215" s="1222"/>
      <c r="BC215" s="1222"/>
      <c r="BD215" s="1222"/>
      <c r="BE215" s="1222"/>
      <c r="BF215" s="1222"/>
      <c r="BG215" s="1222"/>
      <c r="BH215" s="1324"/>
      <c r="BI215" s="1326"/>
      <c r="BJ215" s="1303"/>
      <c r="BK215" s="452" t="str">
        <f>G214</f>
        <v/>
      </c>
    </row>
    <row r="216" spans="1:63" ht="15" customHeight="1">
      <c r="A216" s="1295"/>
      <c r="B216" s="1235"/>
      <c r="C216" s="1236"/>
      <c r="D216" s="1236"/>
      <c r="E216" s="1236"/>
      <c r="F216" s="1237"/>
      <c r="G216" s="1252"/>
      <c r="H216" s="1252"/>
      <c r="I216" s="1252"/>
      <c r="J216" s="1415"/>
      <c r="K216" s="1252"/>
      <c r="L216" s="1276"/>
      <c r="M216" s="1372"/>
      <c r="N216" s="1393"/>
      <c r="O216" s="1373" t="s">
        <v>2025</v>
      </c>
      <c r="P216" s="1375" t="str">
        <f>IFERROR(VLOOKUP('別紙様式2-2（４・５月分）'!AQ164,【参考】数式用!$AR$5:$AT$22,3,FALSE),"")</f>
        <v/>
      </c>
      <c r="Q216" s="1377" t="s">
        <v>2036</v>
      </c>
      <c r="R216" s="1379" t="str">
        <f>IFERROR(VLOOKUP(K214,【参考】数式用!$A$5:$AB$37,MATCH(P216,【参考】数式用!$B$4:$AB$4,0)+1,0),"")</f>
        <v/>
      </c>
      <c r="S216" s="1381" t="s">
        <v>161</v>
      </c>
      <c r="T216" s="1383"/>
      <c r="U216" s="1385" t="str">
        <f>IFERROR(VLOOKUP(K214,【参考】数式用!$A$5:$AB$37,MATCH(T216,【参考】数式用!$B$4:$AB$4,0)+1,0),"")</f>
        <v/>
      </c>
      <c r="V216" s="1387" t="s">
        <v>15</v>
      </c>
      <c r="W216" s="1389">
        <v>7</v>
      </c>
      <c r="X216" s="1363" t="s">
        <v>10</v>
      </c>
      <c r="Y216" s="1389">
        <v>4</v>
      </c>
      <c r="Z216" s="1363" t="s">
        <v>38</v>
      </c>
      <c r="AA216" s="1389">
        <v>8</v>
      </c>
      <c r="AB216" s="1363" t="s">
        <v>10</v>
      </c>
      <c r="AC216" s="1389">
        <v>3</v>
      </c>
      <c r="AD216" s="1363" t="s">
        <v>13</v>
      </c>
      <c r="AE216" s="1363" t="s">
        <v>20</v>
      </c>
      <c r="AF216" s="1363">
        <f>IF(W216&gt;=1,(AA216*12+AC216)-(W216*12+Y216)+1,"")</f>
        <v>12</v>
      </c>
      <c r="AG216" s="1359" t="s">
        <v>33</v>
      </c>
      <c r="AH216" s="1365" t="str">
        <f t="shared" ref="AH216" si="550">IFERROR(ROUNDDOWN(ROUND(L214*U216,0),0)*AF216,"")</f>
        <v/>
      </c>
      <c r="AI216" s="1367" t="str">
        <f t="shared" ref="AI216" si="551">IFERROR(ROUNDDOWN(ROUND((L214*(U216-AW214)),0),0)*AF216,"")</f>
        <v/>
      </c>
      <c r="AJ216" s="1369">
        <f>IFERROR(IF(OR(M214="",M215="",M217=""),0,ROUNDDOWN(ROUNDDOWN(ROUND(L214*VLOOKUP(K214,【参考】数式用!$A$5:$AB$37,MATCH("新加算Ⅳ",【参考】数式用!$B$4:$AB$4,0)+1,0),0),0)*AF216*0.5,0)),"")</f>
        <v>0</v>
      </c>
      <c r="AK216" s="1339" t="str">
        <f t="shared" ref="AK216" si="552">IF(T216&lt;&gt;"","新規に適用","")</f>
        <v/>
      </c>
      <c r="AL216" s="1343">
        <f>IFERROR(IF(OR(M217="ベア加算",M217=""),0, IF(OR(T214="新加算Ⅰ",T214="新加算Ⅱ",T214="新加算Ⅲ",T214="新加算Ⅳ"),0,ROUNDDOWN(ROUND(L214*VLOOKUP(K214,【参考】数式用!$A$5:$I$37,MATCH("ベア加算",【参考】数式用!$B$4:$I$4,0)+1,0),0),0)*AF216)),"")</f>
        <v>0</v>
      </c>
      <c r="AM216" s="1313" t="str">
        <f>IF(AND(T216&lt;&gt;"",AM214=""),"新規に適用",IF(AND(T216&lt;&gt;"",AM214&lt;&gt;""),"継続で適用",""))</f>
        <v/>
      </c>
      <c r="AN216" s="1313" t="str">
        <f>IF(AND(T216&lt;&gt;"",AN214=""),"新規に適用",IF(AND(T216&lt;&gt;"",AN214&lt;&gt;""),"継続で適用",""))</f>
        <v/>
      </c>
      <c r="AO216" s="1361"/>
      <c r="AP216" s="1313" t="str">
        <f>IF(AND(T216&lt;&gt;"",AP214=""),"新規に適用",IF(AND(T216&lt;&gt;"",AP214&lt;&gt;""),"継続で適用",""))</f>
        <v/>
      </c>
      <c r="AQ216" s="1317" t="str">
        <f t="shared" si="420"/>
        <v/>
      </c>
      <c r="AR216" s="1313" t="str">
        <f>IF(AND(T216&lt;&gt;"",AR214=""),"新規に適用",IF(AND(T216&lt;&gt;"",AR214&lt;&gt;""),"継続で適用",""))</f>
        <v/>
      </c>
      <c r="AS216" s="1302"/>
      <c r="AT216" s="554"/>
      <c r="AU216" s="1303" t="str">
        <f>IF(K214&lt;&gt;"","V列に色付け","")</f>
        <v/>
      </c>
      <c r="AV216" s="1304"/>
      <c r="AW216" s="1305"/>
      <c r="AX216"/>
      <c r="AY216"/>
      <c r="AZ216"/>
      <c r="BA216"/>
      <c r="BB216"/>
      <c r="BC216"/>
      <c r="BD216"/>
      <c r="BE216"/>
      <c r="BF216"/>
      <c r="BG216"/>
      <c r="BH216"/>
      <c r="BI216"/>
      <c r="BJ216"/>
      <c r="BK216" s="452" t="str">
        <f>G214</f>
        <v/>
      </c>
    </row>
    <row r="217" spans="1:63" ht="30" customHeight="1" thickBot="1">
      <c r="A217" s="1268"/>
      <c r="B217" s="1411"/>
      <c r="C217" s="1412"/>
      <c r="D217" s="1412"/>
      <c r="E217" s="1412"/>
      <c r="F217" s="1413"/>
      <c r="G217" s="1253"/>
      <c r="H217" s="1253"/>
      <c r="I217" s="1253"/>
      <c r="J217" s="1416"/>
      <c r="K217" s="1253"/>
      <c r="L217" s="1277"/>
      <c r="M217" s="553" t="str">
        <f>IF('別紙様式2-2（４・５月分）'!P166="","",'別紙様式2-2（４・５月分）'!P166)</f>
        <v/>
      </c>
      <c r="N217" s="1394"/>
      <c r="O217" s="1374"/>
      <c r="P217" s="1376"/>
      <c r="Q217" s="1378"/>
      <c r="R217" s="1380"/>
      <c r="S217" s="1382"/>
      <c r="T217" s="1384"/>
      <c r="U217" s="1386"/>
      <c r="V217" s="1388"/>
      <c r="W217" s="1390"/>
      <c r="X217" s="1364"/>
      <c r="Y217" s="1390"/>
      <c r="Z217" s="1364"/>
      <c r="AA217" s="1390"/>
      <c r="AB217" s="1364"/>
      <c r="AC217" s="1390"/>
      <c r="AD217" s="1364"/>
      <c r="AE217" s="1364"/>
      <c r="AF217" s="1364"/>
      <c r="AG217" s="1360"/>
      <c r="AH217" s="1366"/>
      <c r="AI217" s="1368"/>
      <c r="AJ217" s="1370"/>
      <c r="AK217" s="1340"/>
      <c r="AL217" s="1344"/>
      <c r="AM217" s="1314"/>
      <c r="AN217" s="1314"/>
      <c r="AO217" s="1362"/>
      <c r="AP217" s="1314"/>
      <c r="AQ217" s="1318"/>
      <c r="AR217" s="1314"/>
      <c r="AS217" s="490"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4"/>
      <c r="AU217" s="1303"/>
      <c r="AV217" s="555" t="str">
        <f>IF('別紙様式2-2（４・５月分）'!N166="","",'別紙様式2-2（４・５月分）'!N166)</f>
        <v/>
      </c>
      <c r="AW217" s="1305"/>
      <c r="AX217"/>
      <c r="AY217"/>
      <c r="AZ217"/>
      <c r="BA217"/>
      <c r="BB217"/>
      <c r="BC217"/>
      <c r="BD217"/>
      <c r="BE217"/>
      <c r="BF217"/>
      <c r="BG217"/>
      <c r="BH217"/>
      <c r="BI217"/>
      <c r="BJ217"/>
      <c r="BK217" s="452" t="str">
        <f>G214</f>
        <v/>
      </c>
    </row>
    <row r="218" spans="1:63" ht="30" customHeight="1">
      <c r="A218" s="1293">
        <v>52</v>
      </c>
      <c r="B218" s="1235" t="str">
        <f>IF(基本情報入力シート!C105="","",基本情報入力シート!C105)</f>
        <v/>
      </c>
      <c r="C218" s="1236"/>
      <c r="D218" s="1236"/>
      <c r="E218" s="1236"/>
      <c r="F218" s="1237"/>
      <c r="G218" s="1252" t="str">
        <f>IF(基本情報入力シート!M105="","",基本情報入力シート!M105)</f>
        <v/>
      </c>
      <c r="H218" s="1252" t="str">
        <f>IF(基本情報入力シート!R105="","",基本情報入力シート!R105)</f>
        <v/>
      </c>
      <c r="I218" s="1252" t="str">
        <f>IF(基本情報入力シート!W105="","",基本情報入力シート!W105)</f>
        <v/>
      </c>
      <c r="J218" s="1415" t="str">
        <f>IF(基本情報入力シート!X105="","",基本情報入力シート!X105)</f>
        <v/>
      </c>
      <c r="K218" s="1252" t="str">
        <f>IF(基本情報入力シート!Y105="","",基本情報入力シート!Y105)</f>
        <v/>
      </c>
      <c r="L218" s="1276" t="str">
        <f>IF(基本情報入力シート!AB105="","",基本情報入力シート!AB105)</f>
        <v/>
      </c>
      <c r="M218" s="550" t="str">
        <f>IF('別紙様式2-2（４・５月分）'!P167="","",'別紙様式2-2（４・５月分）'!P167)</f>
        <v/>
      </c>
      <c r="N218" s="1391" t="str">
        <f>IF(SUM('別紙様式2-2（４・５月分）'!Q167:Q169)=0,"",SUM('別紙様式2-2（４・５月分）'!Q167:Q169))</f>
        <v/>
      </c>
      <c r="O218" s="1395" t="str">
        <f>IFERROR(VLOOKUP('別紙様式2-2（４・５月分）'!AQ167,【参考】数式用!$AR$5:$AS$22,2,FALSE),"")</f>
        <v/>
      </c>
      <c r="P218" s="1396"/>
      <c r="Q218" s="1397"/>
      <c r="R218" s="1401" t="str">
        <f>IFERROR(VLOOKUP(K218,【参考】数式用!$A$5:$AB$37,MATCH(O218,【参考】数式用!$B$4:$AB$4,0)+1,0),"")</f>
        <v/>
      </c>
      <c r="S218" s="1403" t="s">
        <v>2021</v>
      </c>
      <c r="T218" s="1405"/>
      <c r="U218" s="1407" t="str">
        <f>IFERROR(VLOOKUP(K218,【参考】数式用!$A$5:$AB$37,MATCH(T218,【参考】数式用!$B$4:$AB$4,0)+1,0),"")</f>
        <v/>
      </c>
      <c r="V218" s="1409" t="s">
        <v>15</v>
      </c>
      <c r="W218" s="1347">
        <v>6</v>
      </c>
      <c r="X218" s="1349" t="s">
        <v>10</v>
      </c>
      <c r="Y218" s="1347">
        <v>6</v>
      </c>
      <c r="Z218" s="1349" t="s">
        <v>38</v>
      </c>
      <c r="AA218" s="1347">
        <v>7</v>
      </c>
      <c r="AB218" s="1349" t="s">
        <v>10</v>
      </c>
      <c r="AC218" s="1347">
        <v>3</v>
      </c>
      <c r="AD218" s="1349" t="s">
        <v>13</v>
      </c>
      <c r="AE218" s="1349" t="s">
        <v>20</v>
      </c>
      <c r="AF218" s="1349">
        <f>IF(W218&gt;=1,(AA218*12+AC218)-(W218*12+Y218)+1,"")</f>
        <v>10</v>
      </c>
      <c r="AG218" s="1351" t="s">
        <v>33</v>
      </c>
      <c r="AH218" s="1353" t="str">
        <f t="shared" ref="AH218" si="554">IFERROR(ROUNDDOWN(ROUND(L218*U218,0),0)*AF218,"")</f>
        <v/>
      </c>
      <c r="AI218" s="1355" t="str">
        <f t="shared" ref="AI218" si="555">IFERROR(ROUNDDOWN(ROUND((L218*(U218-AW218)),0),0)*AF218,"")</f>
        <v/>
      </c>
      <c r="AJ218" s="1357">
        <f>IFERROR(IF(OR(M218="",M219="",M221=""),0,ROUNDDOWN(ROUNDDOWN(ROUND(L218*VLOOKUP(K218,【参考】数式用!$A$5:$AB$37,MATCH("新加算Ⅳ",【参考】数式用!$B$4:$AB$4,0)+1,0),0),0)*AF218*0.5,0)),"")</f>
        <v>0</v>
      </c>
      <c r="AK218" s="1341"/>
      <c r="AL218" s="1345">
        <f>IFERROR(IF(OR(M221="ベア加算",M221=""),0, IF(OR(T218="新加算Ⅰ",T218="新加算Ⅱ",T218="新加算Ⅲ",T218="新加算Ⅳ"),ROUNDDOWN(ROUND(L218*VLOOKUP(K218,【参考】数式用!$A$5:$I$37,MATCH("ベア加算",【参考】数式用!$B$4:$I$4,0)+1,0),0),0)*AF218,0)),"")</f>
        <v>0</v>
      </c>
      <c r="AM218" s="1331"/>
      <c r="AN218" s="1337"/>
      <c r="AO218" s="1333"/>
      <c r="AP218" s="1333"/>
      <c r="AQ218" s="1335"/>
      <c r="AR218" s="1315"/>
      <c r="AS218" s="465" t="str">
        <f t="shared" ref="AS218" si="556">IF(AU218="","",IF(U218&lt;N218,"！加算の要件上は問題ありませんが、令和６年４・５月と比較して令和６年６月に加算率が下がる計画になっています。",""))</f>
        <v/>
      </c>
      <c r="AT218" s="554"/>
      <c r="AU218" s="1303" t="str">
        <f>IF(K218&lt;&gt;"","V列に色付け","")</f>
        <v/>
      </c>
      <c r="AV218" s="555" t="str">
        <f>IF('別紙様式2-2（４・５月分）'!N167="","",'別紙様式2-2（４・５月分）'!N167)</f>
        <v/>
      </c>
      <c r="AW218" s="1305" t="str">
        <f>IF(SUM('別紙様式2-2（４・５月分）'!O167:O169)=0,"",SUM('別紙様式2-2（４・５月分）'!O167:O169))</f>
        <v/>
      </c>
      <c r="AX218" s="1306" t="str">
        <f>IFERROR(VLOOKUP(K218,【参考】数式用!$AH$2:$AI$34,2,FALSE),"")</f>
        <v/>
      </c>
      <c r="AY218" s="1222" t="s">
        <v>1959</v>
      </c>
      <c r="AZ218" s="1222" t="s">
        <v>1960</v>
      </c>
      <c r="BA218" s="1222" t="s">
        <v>1961</v>
      </c>
      <c r="BB218" s="1222" t="s">
        <v>1962</v>
      </c>
      <c r="BC218" s="1222" t="str">
        <f>IF(AND(O218&lt;&gt;"新加算Ⅰ",O218&lt;&gt;"新加算Ⅱ",O218&lt;&gt;"新加算Ⅲ",O218&lt;&gt;"新加算Ⅳ"),O218,IF(P220&lt;&gt;"",P220,""))</f>
        <v/>
      </c>
      <c r="BD218" s="1222"/>
      <c r="BE218" s="1222" t="str">
        <f t="shared" ref="BE218" si="557">IF(AL218&lt;&gt;0,IF(AM218="○","入力済","未入力"),"")</f>
        <v/>
      </c>
      <c r="BF218" s="1222"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2" t="str">
        <f>IF(OR(T218="新加算Ⅴ（７）",T218="新加算Ⅴ（９）",T218="新加算Ⅴ（10）",T218="新加算Ⅴ（12）",T218="新加算Ⅴ（13）",T218="新加算Ⅴ（14）"),IF(OR(AO218="○",AO218="令和６年度中に満たす"),"入力済","未入力"),"")</f>
        <v/>
      </c>
      <c r="BH218" s="1323" t="str">
        <f t="shared" ref="BH218" si="558">IF(OR(T218="新加算Ⅰ",T218="新加算Ⅱ",T218="新加算Ⅲ",T218="新加算Ⅴ（１）",T218="新加算Ⅴ（３）",T218="新加算Ⅴ（８）"),IF(OR(AP218="○",AP218="令和６年度中に満たす"),"入力済","未入力"),"")</f>
        <v/>
      </c>
      <c r="BI218" s="1325" t="str">
        <f t="shared" ref="BI218" si="559">IF(OR(T218="新加算Ⅰ",T218="新加算Ⅱ",T218="新加算Ⅴ（１）",T218="新加算Ⅴ（２）",T218="新加算Ⅴ（３）",T218="新加算Ⅴ（４）",T218="新加算Ⅴ（５）",T218="新加算Ⅴ（６）",T218="新加算Ⅴ（７）",T218="新加算Ⅴ（９）",T218="新加算Ⅴ（10）",T218="新加算Ⅴ（12）"),1,"")</f>
        <v/>
      </c>
      <c r="BJ218" s="1303" t="str">
        <f>IF(OR(T218="新加算Ⅰ",T218="新加算Ⅴ（１）",T218="新加算Ⅴ（２）",T218="新加算Ⅴ（５）",T218="新加算Ⅴ（７）",T218="新加算Ⅴ（10）"),IF(AR218="","未入力","入力済"),"")</f>
        <v/>
      </c>
      <c r="BK218" s="452" t="str">
        <f>G218</f>
        <v/>
      </c>
    </row>
    <row r="219" spans="1:63" ht="15" customHeight="1">
      <c r="A219" s="1267"/>
      <c r="B219" s="1235"/>
      <c r="C219" s="1236"/>
      <c r="D219" s="1236"/>
      <c r="E219" s="1236"/>
      <c r="F219" s="1237"/>
      <c r="G219" s="1252"/>
      <c r="H219" s="1252"/>
      <c r="I219" s="1252"/>
      <c r="J219" s="1415"/>
      <c r="K219" s="1252"/>
      <c r="L219" s="1276"/>
      <c r="M219" s="1371" t="str">
        <f>IF('別紙様式2-2（４・５月分）'!P168="","",'別紙様式2-2（４・５月分）'!P168)</f>
        <v/>
      </c>
      <c r="N219" s="1392"/>
      <c r="O219" s="1398"/>
      <c r="P219" s="1399"/>
      <c r="Q219" s="1400"/>
      <c r="R219" s="1402"/>
      <c r="S219" s="1404"/>
      <c r="T219" s="1406"/>
      <c r="U219" s="1408"/>
      <c r="V219" s="1410"/>
      <c r="W219" s="1348"/>
      <c r="X219" s="1350"/>
      <c r="Y219" s="1348"/>
      <c r="Z219" s="1350"/>
      <c r="AA219" s="1348"/>
      <c r="AB219" s="1350"/>
      <c r="AC219" s="1348"/>
      <c r="AD219" s="1350"/>
      <c r="AE219" s="1350"/>
      <c r="AF219" s="1350"/>
      <c r="AG219" s="1352"/>
      <c r="AH219" s="1354"/>
      <c r="AI219" s="1356"/>
      <c r="AJ219" s="1358"/>
      <c r="AK219" s="1342"/>
      <c r="AL219" s="1346"/>
      <c r="AM219" s="1332"/>
      <c r="AN219" s="1338"/>
      <c r="AO219" s="1334"/>
      <c r="AP219" s="1334"/>
      <c r="AQ219" s="1336"/>
      <c r="AR219" s="1316"/>
      <c r="AS219" s="1302"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4"/>
      <c r="AU219" s="1303"/>
      <c r="AV219" s="1304" t="str">
        <f>IF('別紙様式2-2（４・５月分）'!N168="","",'別紙様式2-2（４・５月分）'!N168)</f>
        <v/>
      </c>
      <c r="AW219" s="1305"/>
      <c r="AX219" s="1306"/>
      <c r="AY219" s="1222"/>
      <c r="AZ219" s="1222"/>
      <c r="BA219" s="1222"/>
      <c r="BB219" s="1222"/>
      <c r="BC219" s="1222"/>
      <c r="BD219" s="1222"/>
      <c r="BE219" s="1222"/>
      <c r="BF219" s="1222"/>
      <c r="BG219" s="1222"/>
      <c r="BH219" s="1324"/>
      <c r="BI219" s="1326"/>
      <c r="BJ219" s="1303"/>
      <c r="BK219" s="452" t="str">
        <f>G218</f>
        <v/>
      </c>
    </row>
    <row r="220" spans="1:63" ht="15" customHeight="1">
      <c r="A220" s="1295"/>
      <c r="B220" s="1235"/>
      <c r="C220" s="1236"/>
      <c r="D220" s="1236"/>
      <c r="E220" s="1236"/>
      <c r="F220" s="1237"/>
      <c r="G220" s="1252"/>
      <c r="H220" s="1252"/>
      <c r="I220" s="1252"/>
      <c r="J220" s="1415"/>
      <c r="K220" s="1252"/>
      <c r="L220" s="1276"/>
      <c r="M220" s="1372"/>
      <c r="N220" s="1393"/>
      <c r="O220" s="1373" t="s">
        <v>2025</v>
      </c>
      <c r="P220" s="1375" t="str">
        <f>IFERROR(VLOOKUP('別紙様式2-2（４・５月分）'!AQ167,【参考】数式用!$AR$5:$AT$22,3,FALSE),"")</f>
        <v/>
      </c>
      <c r="Q220" s="1377" t="s">
        <v>2036</v>
      </c>
      <c r="R220" s="1379" t="str">
        <f>IFERROR(VLOOKUP(K218,【参考】数式用!$A$5:$AB$37,MATCH(P220,【参考】数式用!$B$4:$AB$4,0)+1,0),"")</f>
        <v/>
      </c>
      <c r="S220" s="1381" t="s">
        <v>161</v>
      </c>
      <c r="T220" s="1383"/>
      <c r="U220" s="1385" t="str">
        <f>IFERROR(VLOOKUP(K218,【参考】数式用!$A$5:$AB$37,MATCH(T220,【参考】数式用!$B$4:$AB$4,0)+1,0),"")</f>
        <v/>
      </c>
      <c r="V220" s="1387" t="s">
        <v>15</v>
      </c>
      <c r="W220" s="1389">
        <v>7</v>
      </c>
      <c r="X220" s="1363" t="s">
        <v>10</v>
      </c>
      <c r="Y220" s="1389">
        <v>4</v>
      </c>
      <c r="Z220" s="1363" t="s">
        <v>38</v>
      </c>
      <c r="AA220" s="1389">
        <v>8</v>
      </c>
      <c r="AB220" s="1363" t="s">
        <v>10</v>
      </c>
      <c r="AC220" s="1389">
        <v>3</v>
      </c>
      <c r="AD220" s="1363" t="s">
        <v>13</v>
      </c>
      <c r="AE220" s="1363" t="s">
        <v>20</v>
      </c>
      <c r="AF220" s="1363">
        <f>IF(W220&gt;=1,(AA220*12+AC220)-(W220*12+Y220)+1,"")</f>
        <v>12</v>
      </c>
      <c r="AG220" s="1359" t="s">
        <v>33</v>
      </c>
      <c r="AH220" s="1365" t="str">
        <f t="shared" ref="AH220" si="561">IFERROR(ROUNDDOWN(ROUND(L218*U220,0),0)*AF220,"")</f>
        <v/>
      </c>
      <c r="AI220" s="1367" t="str">
        <f t="shared" ref="AI220" si="562">IFERROR(ROUNDDOWN(ROUND((L218*(U220-AW218)),0),0)*AF220,"")</f>
        <v/>
      </c>
      <c r="AJ220" s="1369">
        <f>IFERROR(IF(OR(M218="",M219="",M221=""),0,ROUNDDOWN(ROUNDDOWN(ROUND(L218*VLOOKUP(K218,【参考】数式用!$A$5:$AB$37,MATCH("新加算Ⅳ",【参考】数式用!$B$4:$AB$4,0)+1,0),0),0)*AF220*0.5,0)),"")</f>
        <v>0</v>
      </c>
      <c r="AK220" s="1339" t="str">
        <f t="shared" ref="AK220" si="563">IF(T220&lt;&gt;"","新規に適用","")</f>
        <v/>
      </c>
      <c r="AL220" s="1343">
        <f>IFERROR(IF(OR(M221="ベア加算",M221=""),0, IF(OR(T218="新加算Ⅰ",T218="新加算Ⅱ",T218="新加算Ⅲ",T218="新加算Ⅳ"),0,ROUNDDOWN(ROUND(L218*VLOOKUP(K218,【参考】数式用!$A$5:$I$37,MATCH("ベア加算",【参考】数式用!$B$4:$I$4,0)+1,0),0),0)*AF220)),"")</f>
        <v>0</v>
      </c>
      <c r="AM220" s="1313" t="str">
        <f>IF(AND(T220&lt;&gt;"",AM218=""),"新規に適用",IF(AND(T220&lt;&gt;"",AM218&lt;&gt;""),"継続で適用",""))</f>
        <v/>
      </c>
      <c r="AN220" s="1313" t="str">
        <f>IF(AND(T220&lt;&gt;"",AN218=""),"新規に適用",IF(AND(T220&lt;&gt;"",AN218&lt;&gt;""),"継続で適用",""))</f>
        <v/>
      </c>
      <c r="AO220" s="1361"/>
      <c r="AP220" s="1313" t="str">
        <f>IF(AND(T220&lt;&gt;"",AP218=""),"新規に適用",IF(AND(T220&lt;&gt;"",AP218&lt;&gt;""),"継続で適用",""))</f>
        <v/>
      </c>
      <c r="AQ220" s="1317" t="str">
        <f t="shared" si="420"/>
        <v/>
      </c>
      <c r="AR220" s="1313" t="str">
        <f>IF(AND(T220&lt;&gt;"",AR218=""),"新規に適用",IF(AND(T220&lt;&gt;"",AR218&lt;&gt;""),"継続で適用",""))</f>
        <v/>
      </c>
      <c r="AS220" s="1302"/>
      <c r="AT220" s="554"/>
      <c r="AU220" s="1303" t="str">
        <f>IF(K218&lt;&gt;"","V列に色付け","")</f>
        <v/>
      </c>
      <c r="AV220" s="1304"/>
      <c r="AW220" s="1305"/>
      <c r="AX220"/>
      <c r="AY220"/>
      <c r="AZ220"/>
      <c r="BA220"/>
      <c r="BB220"/>
      <c r="BC220"/>
      <c r="BD220"/>
      <c r="BE220"/>
      <c r="BF220"/>
      <c r="BG220"/>
      <c r="BH220"/>
      <c r="BI220"/>
      <c r="BJ220"/>
      <c r="BK220" s="452" t="str">
        <f>G218</f>
        <v/>
      </c>
    </row>
    <row r="221" spans="1:63" ht="30" customHeight="1" thickBot="1">
      <c r="A221" s="1268"/>
      <c r="B221" s="1411"/>
      <c r="C221" s="1412"/>
      <c r="D221" s="1412"/>
      <c r="E221" s="1412"/>
      <c r="F221" s="1413"/>
      <c r="G221" s="1253"/>
      <c r="H221" s="1253"/>
      <c r="I221" s="1253"/>
      <c r="J221" s="1416"/>
      <c r="K221" s="1253"/>
      <c r="L221" s="1277"/>
      <c r="M221" s="553" t="str">
        <f>IF('別紙様式2-2（４・５月分）'!P169="","",'別紙様式2-2（４・５月分）'!P169)</f>
        <v/>
      </c>
      <c r="N221" s="1394"/>
      <c r="O221" s="1374"/>
      <c r="P221" s="1376"/>
      <c r="Q221" s="1378"/>
      <c r="R221" s="1380"/>
      <c r="S221" s="1382"/>
      <c r="T221" s="1384"/>
      <c r="U221" s="1386"/>
      <c r="V221" s="1388"/>
      <c r="W221" s="1390"/>
      <c r="X221" s="1364"/>
      <c r="Y221" s="1390"/>
      <c r="Z221" s="1364"/>
      <c r="AA221" s="1390"/>
      <c r="AB221" s="1364"/>
      <c r="AC221" s="1390"/>
      <c r="AD221" s="1364"/>
      <c r="AE221" s="1364"/>
      <c r="AF221" s="1364"/>
      <c r="AG221" s="1360"/>
      <c r="AH221" s="1366"/>
      <c r="AI221" s="1368"/>
      <c r="AJ221" s="1370"/>
      <c r="AK221" s="1340"/>
      <c r="AL221" s="1344"/>
      <c r="AM221" s="1314"/>
      <c r="AN221" s="1314"/>
      <c r="AO221" s="1362"/>
      <c r="AP221" s="1314"/>
      <c r="AQ221" s="1318"/>
      <c r="AR221" s="1314"/>
      <c r="AS221" s="490"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4"/>
      <c r="AU221" s="1303"/>
      <c r="AV221" s="555" t="str">
        <f>IF('別紙様式2-2（４・５月分）'!N169="","",'別紙様式2-2（４・５月分）'!N169)</f>
        <v/>
      </c>
      <c r="AW221" s="1305"/>
      <c r="AX221"/>
      <c r="AY221"/>
      <c r="AZ221"/>
      <c r="BA221"/>
      <c r="BB221"/>
      <c r="BC221"/>
      <c r="BD221"/>
      <c r="BE221"/>
      <c r="BF221"/>
      <c r="BG221"/>
      <c r="BH221"/>
      <c r="BI221"/>
      <c r="BJ221"/>
      <c r="BK221" s="452" t="str">
        <f>G218</f>
        <v/>
      </c>
    </row>
    <row r="222" spans="1:63" ht="30" customHeight="1">
      <c r="A222" s="1266">
        <v>53</v>
      </c>
      <c r="B222" s="1232" t="str">
        <f>IF(基本情報入力シート!C106="","",基本情報入力シート!C106)</f>
        <v/>
      </c>
      <c r="C222" s="1233"/>
      <c r="D222" s="1233"/>
      <c r="E222" s="1233"/>
      <c r="F222" s="1234"/>
      <c r="G222" s="1251" t="str">
        <f>IF(基本情報入力シート!M106="","",基本情報入力シート!M106)</f>
        <v/>
      </c>
      <c r="H222" s="1251" t="str">
        <f>IF(基本情報入力シート!R106="","",基本情報入力シート!R106)</f>
        <v/>
      </c>
      <c r="I222" s="1251" t="str">
        <f>IF(基本情報入力シート!W106="","",基本情報入力シート!W106)</f>
        <v/>
      </c>
      <c r="J222" s="1414" t="str">
        <f>IF(基本情報入力シート!X106="","",基本情報入力シート!X106)</f>
        <v/>
      </c>
      <c r="K222" s="1251" t="str">
        <f>IF(基本情報入力シート!Y106="","",基本情報入力シート!Y106)</f>
        <v/>
      </c>
      <c r="L222" s="1275" t="str">
        <f>IF(基本情報入力シート!AB106="","",基本情報入力シート!AB106)</f>
        <v/>
      </c>
      <c r="M222" s="550" t="str">
        <f>IF('別紙様式2-2（４・５月分）'!P170="","",'別紙様式2-2（４・５月分）'!P170)</f>
        <v/>
      </c>
      <c r="N222" s="1391" t="str">
        <f>IF(SUM('別紙様式2-2（４・５月分）'!Q170:Q172)=0,"",SUM('別紙様式2-2（４・５月分）'!Q170:Q172))</f>
        <v/>
      </c>
      <c r="O222" s="1395" t="str">
        <f>IFERROR(VLOOKUP('別紙様式2-2（４・５月分）'!AQ170,【参考】数式用!$AR$5:$AS$22,2,FALSE),"")</f>
        <v/>
      </c>
      <c r="P222" s="1396"/>
      <c r="Q222" s="1397"/>
      <c r="R222" s="1401" t="str">
        <f>IFERROR(VLOOKUP(K222,【参考】数式用!$A$5:$AB$37,MATCH(O222,【参考】数式用!$B$4:$AB$4,0)+1,0),"")</f>
        <v/>
      </c>
      <c r="S222" s="1403" t="s">
        <v>2021</v>
      </c>
      <c r="T222" s="1405"/>
      <c r="U222" s="1407" t="str">
        <f>IFERROR(VLOOKUP(K222,【参考】数式用!$A$5:$AB$37,MATCH(T222,【参考】数式用!$B$4:$AB$4,0)+1,0),"")</f>
        <v/>
      </c>
      <c r="V222" s="1409" t="s">
        <v>15</v>
      </c>
      <c r="W222" s="1347">
        <v>6</v>
      </c>
      <c r="X222" s="1349" t="s">
        <v>10</v>
      </c>
      <c r="Y222" s="1347">
        <v>6</v>
      </c>
      <c r="Z222" s="1349" t="s">
        <v>38</v>
      </c>
      <c r="AA222" s="1347">
        <v>7</v>
      </c>
      <c r="AB222" s="1349" t="s">
        <v>10</v>
      </c>
      <c r="AC222" s="1347">
        <v>3</v>
      </c>
      <c r="AD222" s="1349" t="s">
        <v>13</v>
      </c>
      <c r="AE222" s="1349" t="s">
        <v>20</v>
      </c>
      <c r="AF222" s="1349">
        <f>IF(W222&gt;=1,(AA222*12+AC222)-(W222*12+Y222)+1,"")</f>
        <v>10</v>
      </c>
      <c r="AG222" s="1351" t="s">
        <v>33</v>
      </c>
      <c r="AH222" s="1353" t="str">
        <f t="shared" ref="AH222" si="565">IFERROR(ROUNDDOWN(ROUND(L222*U222,0),0)*AF222,"")</f>
        <v/>
      </c>
      <c r="AI222" s="1355" t="str">
        <f t="shared" ref="AI222" si="566">IFERROR(ROUNDDOWN(ROUND((L222*(U222-AW222)),0),0)*AF222,"")</f>
        <v/>
      </c>
      <c r="AJ222" s="1357">
        <f>IFERROR(IF(OR(M222="",M223="",M225=""),0,ROUNDDOWN(ROUNDDOWN(ROUND(L222*VLOOKUP(K222,【参考】数式用!$A$5:$AB$37,MATCH("新加算Ⅳ",【参考】数式用!$B$4:$AB$4,0)+1,0),0),0)*AF222*0.5,0)),"")</f>
        <v>0</v>
      </c>
      <c r="AK222" s="1341"/>
      <c r="AL222" s="1345">
        <f>IFERROR(IF(OR(M225="ベア加算",M225=""),0, IF(OR(T222="新加算Ⅰ",T222="新加算Ⅱ",T222="新加算Ⅲ",T222="新加算Ⅳ"),ROUNDDOWN(ROUND(L222*VLOOKUP(K222,【参考】数式用!$A$5:$I$37,MATCH("ベア加算",【参考】数式用!$B$4:$I$4,0)+1,0),0),0)*AF222,0)),"")</f>
        <v>0</v>
      </c>
      <c r="AM222" s="1331"/>
      <c r="AN222" s="1337"/>
      <c r="AO222" s="1333"/>
      <c r="AP222" s="1333"/>
      <c r="AQ222" s="1335"/>
      <c r="AR222" s="1315"/>
      <c r="AS222" s="465" t="str">
        <f t="shared" ref="AS222" si="567">IF(AU222="","",IF(U222&lt;N222,"！加算の要件上は問題ありませんが、令和６年４・５月と比較して令和６年６月に加算率が下がる計画になっています。",""))</f>
        <v/>
      </c>
      <c r="AT222" s="554"/>
      <c r="AU222" s="1303" t="str">
        <f>IF(K222&lt;&gt;"","V列に色付け","")</f>
        <v/>
      </c>
      <c r="AV222" s="555" t="str">
        <f>IF('別紙様式2-2（４・５月分）'!N170="","",'別紙様式2-2（４・５月分）'!N170)</f>
        <v/>
      </c>
      <c r="AW222" s="1305" t="str">
        <f>IF(SUM('別紙様式2-2（４・５月分）'!O170:O172)=0,"",SUM('別紙様式2-2（４・５月分）'!O170:O172))</f>
        <v/>
      </c>
      <c r="AX222" s="1306" t="str">
        <f>IFERROR(VLOOKUP(K222,【参考】数式用!$AH$2:$AI$34,2,FALSE),"")</f>
        <v/>
      </c>
      <c r="AY222" s="1222" t="s">
        <v>1959</v>
      </c>
      <c r="AZ222" s="1222" t="s">
        <v>1960</v>
      </c>
      <c r="BA222" s="1222" t="s">
        <v>1961</v>
      </c>
      <c r="BB222" s="1222" t="s">
        <v>1962</v>
      </c>
      <c r="BC222" s="1222" t="str">
        <f>IF(AND(O222&lt;&gt;"新加算Ⅰ",O222&lt;&gt;"新加算Ⅱ",O222&lt;&gt;"新加算Ⅲ",O222&lt;&gt;"新加算Ⅳ"),O222,IF(P224&lt;&gt;"",P224,""))</f>
        <v/>
      </c>
      <c r="BD222" s="1222"/>
      <c r="BE222" s="1222" t="str">
        <f t="shared" ref="BE222" si="568">IF(AL222&lt;&gt;0,IF(AM222="○","入力済","未入力"),"")</f>
        <v/>
      </c>
      <c r="BF222" s="1222"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2" t="str">
        <f>IF(OR(T222="新加算Ⅴ（７）",T222="新加算Ⅴ（９）",T222="新加算Ⅴ（10）",T222="新加算Ⅴ（12）",T222="新加算Ⅴ（13）",T222="新加算Ⅴ（14）"),IF(OR(AO222="○",AO222="令和６年度中に満たす"),"入力済","未入力"),"")</f>
        <v/>
      </c>
      <c r="BH222" s="1323" t="str">
        <f t="shared" ref="BH222" si="569">IF(OR(T222="新加算Ⅰ",T222="新加算Ⅱ",T222="新加算Ⅲ",T222="新加算Ⅴ（１）",T222="新加算Ⅴ（３）",T222="新加算Ⅴ（８）"),IF(OR(AP222="○",AP222="令和６年度中に満たす"),"入力済","未入力"),"")</f>
        <v/>
      </c>
      <c r="BI222" s="1325" t="str">
        <f t="shared" ref="BI222" si="570">IF(OR(T222="新加算Ⅰ",T222="新加算Ⅱ",T222="新加算Ⅴ（１）",T222="新加算Ⅴ（２）",T222="新加算Ⅴ（３）",T222="新加算Ⅴ（４）",T222="新加算Ⅴ（５）",T222="新加算Ⅴ（６）",T222="新加算Ⅴ（７）",T222="新加算Ⅴ（９）",T222="新加算Ⅴ（10）",T222="新加算Ⅴ（12）"),1,"")</f>
        <v/>
      </c>
      <c r="BJ222" s="1303" t="str">
        <f>IF(OR(T222="新加算Ⅰ",T222="新加算Ⅴ（１）",T222="新加算Ⅴ（２）",T222="新加算Ⅴ（５）",T222="新加算Ⅴ（７）",T222="新加算Ⅴ（10）"),IF(AR222="","未入力","入力済"),"")</f>
        <v/>
      </c>
      <c r="BK222" s="452" t="str">
        <f>G222</f>
        <v/>
      </c>
    </row>
    <row r="223" spans="1:63" ht="15" customHeight="1">
      <c r="A223" s="1267"/>
      <c r="B223" s="1235"/>
      <c r="C223" s="1236"/>
      <c r="D223" s="1236"/>
      <c r="E223" s="1236"/>
      <c r="F223" s="1237"/>
      <c r="G223" s="1252"/>
      <c r="H223" s="1252"/>
      <c r="I223" s="1252"/>
      <c r="J223" s="1415"/>
      <c r="K223" s="1252"/>
      <c r="L223" s="1276"/>
      <c r="M223" s="1371" t="str">
        <f>IF('別紙様式2-2（４・５月分）'!P171="","",'別紙様式2-2（４・５月分）'!P171)</f>
        <v/>
      </c>
      <c r="N223" s="1392"/>
      <c r="O223" s="1398"/>
      <c r="P223" s="1399"/>
      <c r="Q223" s="1400"/>
      <c r="R223" s="1402"/>
      <c r="S223" s="1404"/>
      <c r="T223" s="1406"/>
      <c r="U223" s="1408"/>
      <c r="V223" s="1410"/>
      <c r="W223" s="1348"/>
      <c r="X223" s="1350"/>
      <c r="Y223" s="1348"/>
      <c r="Z223" s="1350"/>
      <c r="AA223" s="1348"/>
      <c r="AB223" s="1350"/>
      <c r="AC223" s="1348"/>
      <c r="AD223" s="1350"/>
      <c r="AE223" s="1350"/>
      <c r="AF223" s="1350"/>
      <c r="AG223" s="1352"/>
      <c r="AH223" s="1354"/>
      <c r="AI223" s="1356"/>
      <c r="AJ223" s="1358"/>
      <c r="AK223" s="1342"/>
      <c r="AL223" s="1346"/>
      <c r="AM223" s="1332"/>
      <c r="AN223" s="1338"/>
      <c r="AO223" s="1334"/>
      <c r="AP223" s="1334"/>
      <c r="AQ223" s="1336"/>
      <c r="AR223" s="1316"/>
      <c r="AS223" s="1302"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4"/>
      <c r="AU223" s="1303"/>
      <c r="AV223" s="1304" t="str">
        <f>IF('別紙様式2-2（４・５月分）'!N171="","",'別紙様式2-2（４・５月分）'!N171)</f>
        <v/>
      </c>
      <c r="AW223" s="1305"/>
      <c r="AX223" s="1306"/>
      <c r="AY223" s="1222"/>
      <c r="AZ223" s="1222"/>
      <c r="BA223" s="1222"/>
      <c r="BB223" s="1222"/>
      <c r="BC223" s="1222"/>
      <c r="BD223" s="1222"/>
      <c r="BE223" s="1222"/>
      <c r="BF223" s="1222"/>
      <c r="BG223" s="1222"/>
      <c r="BH223" s="1324"/>
      <c r="BI223" s="1326"/>
      <c r="BJ223" s="1303"/>
      <c r="BK223" s="452" t="str">
        <f>G222</f>
        <v/>
      </c>
    </row>
    <row r="224" spans="1:63" ht="15" customHeight="1">
      <c r="A224" s="1295"/>
      <c r="B224" s="1235"/>
      <c r="C224" s="1236"/>
      <c r="D224" s="1236"/>
      <c r="E224" s="1236"/>
      <c r="F224" s="1237"/>
      <c r="G224" s="1252"/>
      <c r="H224" s="1252"/>
      <c r="I224" s="1252"/>
      <c r="J224" s="1415"/>
      <c r="K224" s="1252"/>
      <c r="L224" s="1276"/>
      <c r="M224" s="1372"/>
      <c r="N224" s="1393"/>
      <c r="O224" s="1373" t="s">
        <v>2025</v>
      </c>
      <c r="P224" s="1375" t="str">
        <f>IFERROR(VLOOKUP('別紙様式2-2（４・５月分）'!AQ170,【参考】数式用!$AR$5:$AT$22,3,FALSE),"")</f>
        <v/>
      </c>
      <c r="Q224" s="1377" t="s">
        <v>2036</v>
      </c>
      <c r="R224" s="1379" t="str">
        <f>IFERROR(VLOOKUP(K222,【参考】数式用!$A$5:$AB$37,MATCH(P224,【参考】数式用!$B$4:$AB$4,0)+1,0),"")</f>
        <v/>
      </c>
      <c r="S224" s="1381" t="s">
        <v>161</v>
      </c>
      <c r="T224" s="1383"/>
      <c r="U224" s="1385" t="str">
        <f>IFERROR(VLOOKUP(K222,【参考】数式用!$A$5:$AB$37,MATCH(T224,【参考】数式用!$B$4:$AB$4,0)+1,0),"")</f>
        <v/>
      </c>
      <c r="V224" s="1387" t="s">
        <v>15</v>
      </c>
      <c r="W224" s="1389">
        <v>7</v>
      </c>
      <c r="X224" s="1363" t="s">
        <v>10</v>
      </c>
      <c r="Y224" s="1389">
        <v>4</v>
      </c>
      <c r="Z224" s="1363" t="s">
        <v>38</v>
      </c>
      <c r="AA224" s="1389">
        <v>8</v>
      </c>
      <c r="AB224" s="1363" t="s">
        <v>10</v>
      </c>
      <c r="AC224" s="1389">
        <v>3</v>
      </c>
      <c r="AD224" s="1363" t="s">
        <v>13</v>
      </c>
      <c r="AE224" s="1363" t="s">
        <v>20</v>
      </c>
      <c r="AF224" s="1363">
        <f>IF(W224&gt;=1,(AA224*12+AC224)-(W224*12+Y224)+1,"")</f>
        <v>12</v>
      </c>
      <c r="AG224" s="1359" t="s">
        <v>33</v>
      </c>
      <c r="AH224" s="1365" t="str">
        <f t="shared" ref="AH224" si="572">IFERROR(ROUNDDOWN(ROUND(L222*U224,0),0)*AF224,"")</f>
        <v/>
      </c>
      <c r="AI224" s="1367" t="str">
        <f t="shared" ref="AI224" si="573">IFERROR(ROUNDDOWN(ROUND((L222*(U224-AW222)),0),0)*AF224,"")</f>
        <v/>
      </c>
      <c r="AJ224" s="1369">
        <f>IFERROR(IF(OR(M222="",M223="",M225=""),0,ROUNDDOWN(ROUNDDOWN(ROUND(L222*VLOOKUP(K222,【参考】数式用!$A$5:$AB$37,MATCH("新加算Ⅳ",【参考】数式用!$B$4:$AB$4,0)+1,0),0),0)*AF224*0.5,0)),"")</f>
        <v>0</v>
      </c>
      <c r="AK224" s="1339" t="str">
        <f t="shared" ref="AK224" si="574">IF(T224&lt;&gt;"","新規に適用","")</f>
        <v/>
      </c>
      <c r="AL224" s="1343">
        <f>IFERROR(IF(OR(M225="ベア加算",M225=""),0, IF(OR(T222="新加算Ⅰ",T222="新加算Ⅱ",T222="新加算Ⅲ",T222="新加算Ⅳ"),0,ROUNDDOWN(ROUND(L222*VLOOKUP(K222,【参考】数式用!$A$5:$I$37,MATCH("ベア加算",【参考】数式用!$B$4:$I$4,0)+1,0),0),0)*AF224)),"")</f>
        <v>0</v>
      </c>
      <c r="AM224" s="1313" t="str">
        <f>IF(AND(T224&lt;&gt;"",AM222=""),"新規に適用",IF(AND(T224&lt;&gt;"",AM222&lt;&gt;""),"継続で適用",""))</f>
        <v/>
      </c>
      <c r="AN224" s="1313" t="str">
        <f>IF(AND(T224&lt;&gt;"",AN222=""),"新規に適用",IF(AND(T224&lt;&gt;"",AN222&lt;&gt;""),"継続で適用",""))</f>
        <v/>
      </c>
      <c r="AO224" s="1361"/>
      <c r="AP224" s="1313" t="str">
        <f>IF(AND(T224&lt;&gt;"",AP222=""),"新規に適用",IF(AND(T224&lt;&gt;"",AP222&lt;&gt;""),"継続で適用",""))</f>
        <v/>
      </c>
      <c r="AQ224" s="1317" t="str">
        <f t="shared" si="420"/>
        <v/>
      </c>
      <c r="AR224" s="1313" t="str">
        <f>IF(AND(T224&lt;&gt;"",AR222=""),"新規に適用",IF(AND(T224&lt;&gt;"",AR222&lt;&gt;""),"継続で適用",""))</f>
        <v/>
      </c>
      <c r="AS224" s="1302"/>
      <c r="AT224" s="554"/>
      <c r="AU224" s="1303" t="str">
        <f>IF(K222&lt;&gt;"","V列に色付け","")</f>
        <v/>
      </c>
      <c r="AV224" s="1304"/>
      <c r="AW224" s="1305"/>
      <c r="AX224"/>
      <c r="AY224"/>
      <c r="AZ224"/>
      <c r="BA224"/>
      <c r="BB224"/>
      <c r="BC224"/>
      <c r="BD224"/>
      <c r="BE224"/>
      <c r="BF224"/>
      <c r="BG224"/>
      <c r="BH224"/>
      <c r="BI224"/>
      <c r="BJ224"/>
      <c r="BK224" s="452" t="str">
        <f>G222</f>
        <v/>
      </c>
    </row>
    <row r="225" spans="1:63" ht="30" customHeight="1" thickBot="1">
      <c r="A225" s="1268"/>
      <c r="B225" s="1411"/>
      <c r="C225" s="1412"/>
      <c r="D225" s="1412"/>
      <c r="E225" s="1412"/>
      <c r="F225" s="1413"/>
      <c r="G225" s="1253"/>
      <c r="H225" s="1253"/>
      <c r="I225" s="1253"/>
      <c r="J225" s="1416"/>
      <c r="K225" s="1253"/>
      <c r="L225" s="1277"/>
      <c r="M225" s="553" t="str">
        <f>IF('別紙様式2-2（４・５月分）'!P172="","",'別紙様式2-2（４・５月分）'!P172)</f>
        <v/>
      </c>
      <c r="N225" s="1394"/>
      <c r="O225" s="1374"/>
      <c r="P225" s="1376"/>
      <c r="Q225" s="1378"/>
      <c r="R225" s="1380"/>
      <c r="S225" s="1382"/>
      <c r="T225" s="1384"/>
      <c r="U225" s="1386"/>
      <c r="V225" s="1388"/>
      <c r="W225" s="1390"/>
      <c r="X225" s="1364"/>
      <c r="Y225" s="1390"/>
      <c r="Z225" s="1364"/>
      <c r="AA225" s="1390"/>
      <c r="AB225" s="1364"/>
      <c r="AC225" s="1390"/>
      <c r="AD225" s="1364"/>
      <c r="AE225" s="1364"/>
      <c r="AF225" s="1364"/>
      <c r="AG225" s="1360"/>
      <c r="AH225" s="1366"/>
      <c r="AI225" s="1368"/>
      <c r="AJ225" s="1370"/>
      <c r="AK225" s="1340"/>
      <c r="AL225" s="1344"/>
      <c r="AM225" s="1314"/>
      <c r="AN225" s="1314"/>
      <c r="AO225" s="1362"/>
      <c r="AP225" s="1314"/>
      <c r="AQ225" s="1318"/>
      <c r="AR225" s="1314"/>
      <c r="AS225" s="490"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4"/>
      <c r="AU225" s="1303"/>
      <c r="AV225" s="555" t="str">
        <f>IF('別紙様式2-2（４・５月分）'!N172="","",'別紙様式2-2（４・５月分）'!N172)</f>
        <v/>
      </c>
      <c r="AW225" s="1305"/>
      <c r="AX225"/>
      <c r="AY225"/>
      <c r="AZ225"/>
      <c r="BA225"/>
      <c r="BB225"/>
      <c r="BC225"/>
      <c r="BD225"/>
      <c r="BE225"/>
      <c r="BF225"/>
      <c r="BG225"/>
      <c r="BH225"/>
      <c r="BI225"/>
      <c r="BJ225"/>
      <c r="BK225" s="452" t="str">
        <f>G222</f>
        <v/>
      </c>
    </row>
    <row r="226" spans="1:63" ht="30" customHeight="1">
      <c r="A226" s="1293">
        <v>54</v>
      </c>
      <c r="B226" s="1235" t="str">
        <f>IF(基本情報入力シート!C107="","",基本情報入力シート!C107)</f>
        <v/>
      </c>
      <c r="C226" s="1236"/>
      <c r="D226" s="1236"/>
      <c r="E226" s="1236"/>
      <c r="F226" s="1237"/>
      <c r="G226" s="1252" t="str">
        <f>IF(基本情報入力シート!M107="","",基本情報入力シート!M107)</f>
        <v/>
      </c>
      <c r="H226" s="1252" t="str">
        <f>IF(基本情報入力シート!R107="","",基本情報入力シート!R107)</f>
        <v/>
      </c>
      <c r="I226" s="1252" t="str">
        <f>IF(基本情報入力シート!W107="","",基本情報入力シート!W107)</f>
        <v/>
      </c>
      <c r="J226" s="1415" t="str">
        <f>IF(基本情報入力シート!X107="","",基本情報入力シート!X107)</f>
        <v/>
      </c>
      <c r="K226" s="1252" t="str">
        <f>IF(基本情報入力シート!Y107="","",基本情報入力シート!Y107)</f>
        <v/>
      </c>
      <c r="L226" s="1276" t="str">
        <f>IF(基本情報入力シート!AB107="","",基本情報入力シート!AB107)</f>
        <v/>
      </c>
      <c r="M226" s="550" t="str">
        <f>IF('別紙様式2-2（４・５月分）'!P173="","",'別紙様式2-2（４・５月分）'!P173)</f>
        <v/>
      </c>
      <c r="N226" s="1391" t="str">
        <f>IF(SUM('別紙様式2-2（４・５月分）'!Q173:Q175)=0,"",SUM('別紙様式2-2（４・５月分）'!Q173:Q175))</f>
        <v/>
      </c>
      <c r="O226" s="1395" t="str">
        <f>IFERROR(VLOOKUP('別紙様式2-2（４・５月分）'!AQ173,【参考】数式用!$AR$5:$AS$22,2,FALSE),"")</f>
        <v/>
      </c>
      <c r="P226" s="1396"/>
      <c r="Q226" s="1397"/>
      <c r="R226" s="1401" t="str">
        <f>IFERROR(VLOOKUP(K226,【参考】数式用!$A$5:$AB$37,MATCH(O226,【参考】数式用!$B$4:$AB$4,0)+1,0),"")</f>
        <v/>
      </c>
      <c r="S226" s="1403" t="s">
        <v>2021</v>
      </c>
      <c r="T226" s="1405"/>
      <c r="U226" s="1407" t="str">
        <f>IFERROR(VLOOKUP(K226,【参考】数式用!$A$5:$AB$37,MATCH(T226,【参考】数式用!$B$4:$AB$4,0)+1,0),"")</f>
        <v/>
      </c>
      <c r="V226" s="1409" t="s">
        <v>15</v>
      </c>
      <c r="W226" s="1347">
        <v>6</v>
      </c>
      <c r="X226" s="1349" t="s">
        <v>10</v>
      </c>
      <c r="Y226" s="1347">
        <v>6</v>
      </c>
      <c r="Z226" s="1349" t="s">
        <v>38</v>
      </c>
      <c r="AA226" s="1347">
        <v>7</v>
      </c>
      <c r="AB226" s="1349" t="s">
        <v>10</v>
      </c>
      <c r="AC226" s="1347">
        <v>3</v>
      </c>
      <c r="AD226" s="1349" t="s">
        <v>13</v>
      </c>
      <c r="AE226" s="1349" t="s">
        <v>20</v>
      </c>
      <c r="AF226" s="1349">
        <f>IF(W226&gt;=1,(AA226*12+AC226)-(W226*12+Y226)+1,"")</f>
        <v>10</v>
      </c>
      <c r="AG226" s="1351" t="s">
        <v>33</v>
      </c>
      <c r="AH226" s="1353" t="str">
        <f t="shared" ref="AH226" si="576">IFERROR(ROUNDDOWN(ROUND(L226*U226,0),0)*AF226,"")</f>
        <v/>
      </c>
      <c r="AI226" s="1355" t="str">
        <f t="shared" ref="AI226" si="577">IFERROR(ROUNDDOWN(ROUND((L226*(U226-AW226)),0),0)*AF226,"")</f>
        <v/>
      </c>
      <c r="AJ226" s="1357">
        <f>IFERROR(IF(OR(M226="",M227="",M229=""),0,ROUNDDOWN(ROUNDDOWN(ROUND(L226*VLOOKUP(K226,【参考】数式用!$A$5:$AB$37,MATCH("新加算Ⅳ",【参考】数式用!$B$4:$AB$4,0)+1,0),0),0)*AF226*0.5,0)),"")</f>
        <v>0</v>
      </c>
      <c r="AK226" s="1341"/>
      <c r="AL226" s="1345">
        <f>IFERROR(IF(OR(M229="ベア加算",M229=""),0, IF(OR(T226="新加算Ⅰ",T226="新加算Ⅱ",T226="新加算Ⅲ",T226="新加算Ⅳ"),ROUNDDOWN(ROUND(L226*VLOOKUP(K226,【参考】数式用!$A$5:$I$37,MATCH("ベア加算",【参考】数式用!$B$4:$I$4,0)+1,0),0),0)*AF226,0)),"")</f>
        <v>0</v>
      </c>
      <c r="AM226" s="1331"/>
      <c r="AN226" s="1337"/>
      <c r="AO226" s="1333"/>
      <c r="AP226" s="1333"/>
      <c r="AQ226" s="1335"/>
      <c r="AR226" s="1315"/>
      <c r="AS226" s="465" t="str">
        <f t="shared" ref="AS226" si="578">IF(AU226="","",IF(U226&lt;N226,"！加算の要件上は問題ありませんが、令和６年４・５月と比較して令和６年６月に加算率が下がる計画になっています。",""))</f>
        <v/>
      </c>
      <c r="AT226" s="554"/>
      <c r="AU226" s="1303" t="str">
        <f>IF(K226&lt;&gt;"","V列に色付け","")</f>
        <v/>
      </c>
      <c r="AV226" s="555" t="str">
        <f>IF('別紙様式2-2（４・５月分）'!N173="","",'別紙様式2-2（４・５月分）'!N173)</f>
        <v/>
      </c>
      <c r="AW226" s="1305" t="str">
        <f>IF(SUM('別紙様式2-2（４・５月分）'!O173:O175)=0,"",SUM('別紙様式2-2（４・５月分）'!O173:O175))</f>
        <v/>
      </c>
      <c r="AX226" s="1306" t="str">
        <f>IFERROR(VLOOKUP(K226,【参考】数式用!$AH$2:$AI$34,2,FALSE),"")</f>
        <v/>
      </c>
      <c r="AY226" s="1222" t="s">
        <v>1959</v>
      </c>
      <c r="AZ226" s="1222" t="s">
        <v>1960</v>
      </c>
      <c r="BA226" s="1222" t="s">
        <v>1961</v>
      </c>
      <c r="BB226" s="1222" t="s">
        <v>1962</v>
      </c>
      <c r="BC226" s="1222" t="str">
        <f>IF(AND(O226&lt;&gt;"新加算Ⅰ",O226&lt;&gt;"新加算Ⅱ",O226&lt;&gt;"新加算Ⅲ",O226&lt;&gt;"新加算Ⅳ"),O226,IF(P228&lt;&gt;"",P228,""))</f>
        <v/>
      </c>
      <c r="BD226" s="1222"/>
      <c r="BE226" s="1222" t="str">
        <f t="shared" ref="BE226" si="579">IF(AL226&lt;&gt;0,IF(AM226="○","入力済","未入力"),"")</f>
        <v/>
      </c>
      <c r="BF226" s="1222"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2" t="str">
        <f>IF(OR(T226="新加算Ⅴ（７）",T226="新加算Ⅴ（９）",T226="新加算Ⅴ（10）",T226="新加算Ⅴ（12）",T226="新加算Ⅴ（13）",T226="新加算Ⅴ（14）"),IF(OR(AO226="○",AO226="令和６年度中に満たす"),"入力済","未入力"),"")</f>
        <v/>
      </c>
      <c r="BH226" s="1323" t="str">
        <f t="shared" ref="BH226" si="580">IF(OR(T226="新加算Ⅰ",T226="新加算Ⅱ",T226="新加算Ⅲ",T226="新加算Ⅴ（１）",T226="新加算Ⅴ（３）",T226="新加算Ⅴ（８）"),IF(OR(AP226="○",AP226="令和６年度中に満たす"),"入力済","未入力"),"")</f>
        <v/>
      </c>
      <c r="BI226" s="1325" t="str">
        <f t="shared" ref="BI226" si="581">IF(OR(T226="新加算Ⅰ",T226="新加算Ⅱ",T226="新加算Ⅴ（１）",T226="新加算Ⅴ（２）",T226="新加算Ⅴ（３）",T226="新加算Ⅴ（４）",T226="新加算Ⅴ（５）",T226="新加算Ⅴ（６）",T226="新加算Ⅴ（７）",T226="新加算Ⅴ（９）",T226="新加算Ⅴ（10）",T226="新加算Ⅴ（12）"),1,"")</f>
        <v/>
      </c>
      <c r="BJ226" s="1303" t="str">
        <f>IF(OR(T226="新加算Ⅰ",T226="新加算Ⅴ（１）",T226="新加算Ⅴ（２）",T226="新加算Ⅴ（５）",T226="新加算Ⅴ（７）",T226="新加算Ⅴ（10）"),IF(AR226="","未入力","入力済"),"")</f>
        <v/>
      </c>
      <c r="BK226" s="452" t="str">
        <f>G226</f>
        <v/>
      </c>
    </row>
    <row r="227" spans="1:63" ht="15" customHeight="1">
      <c r="A227" s="1267"/>
      <c r="B227" s="1235"/>
      <c r="C227" s="1236"/>
      <c r="D227" s="1236"/>
      <c r="E227" s="1236"/>
      <c r="F227" s="1237"/>
      <c r="G227" s="1252"/>
      <c r="H227" s="1252"/>
      <c r="I227" s="1252"/>
      <c r="J227" s="1415"/>
      <c r="K227" s="1252"/>
      <c r="L227" s="1276"/>
      <c r="M227" s="1371" t="str">
        <f>IF('別紙様式2-2（４・５月分）'!P174="","",'別紙様式2-2（４・５月分）'!P174)</f>
        <v/>
      </c>
      <c r="N227" s="1392"/>
      <c r="O227" s="1398"/>
      <c r="P227" s="1399"/>
      <c r="Q227" s="1400"/>
      <c r="R227" s="1402"/>
      <c r="S227" s="1404"/>
      <c r="T227" s="1406"/>
      <c r="U227" s="1408"/>
      <c r="V227" s="1410"/>
      <c r="W227" s="1348"/>
      <c r="X227" s="1350"/>
      <c r="Y227" s="1348"/>
      <c r="Z227" s="1350"/>
      <c r="AA227" s="1348"/>
      <c r="AB227" s="1350"/>
      <c r="AC227" s="1348"/>
      <c r="AD227" s="1350"/>
      <c r="AE227" s="1350"/>
      <c r="AF227" s="1350"/>
      <c r="AG227" s="1352"/>
      <c r="AH227" s="1354"/>
      <c r="AI227" s="1356"/>
      <c r="AJ227" s="1358"/>
      <c r="AK227" s="1342"/>
      <c r="AL227" s="1346"/>
      <c r="AM227" s="1332"/>
      <c r="AN227" s="1338"/>
      <c r="AO227" s="1334"/>
      <c r="AP227" s="1334"/>
      <c r="AQ227" s="1336"/>
      <c r="AR227" s="1316"/>
      <c r="AS227" s="1302"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4"/>
      <c r="AU227" s="1303"/>
      <c r="AV227" s="1304" t="str">
        <f>IF('別紙様式2-2（４・５月分）'!N174="","",'別紙様式2-2（４・５月分）'!N174)</f>
        <v/>
      </c>
      <c r="AW227" s="1305"/>
      <c r="AX227" s="1306"/>
      <c r="AY227" s="1222"/>
      <c r="AZ227" s="1222"/>
      <c r="BA227" s="1222"/>
      <c r="BB227" s="1222"/>
      <c r="BC227" s="1222"/>
      <c r="BD227" s="1222"/>
      <c r="BE227" s="1222"/>
      <c r="BF227" s="1222"/>
      <c r="BG227" s="1222"/>
      <c r="BH227" s="1324"/>
      <c r="BI227" s="1326"/>
      <c r="BJ227" s="1303"/>
      <c r="BK227" s="452" t="str">
        <f>G226</f>
        <v/>
      </c>
    </row>
    <row r="228" spans="1:63" ht="15" customHeight="1">
      <c r="A228" s="1295"/>
      <c r="B228" s="1235"/>
      <c r="C228" s="1236"/>
      <c r="D228" s="1236"/>
      <c r="E228" s="1236"/>
      <c r="F228" s="1237"/>
      <c r="G228" s="1252"/>
      <c r="H228" s="1252"/>
      <c r="I228" s="1252"/>
      <c r="J228" s="1415"/>
      <c r="K228" s="1252"/>
      <c r="L228" s="1276"/>
      <c r="M228" s="1372"/>
      <c r="N228" s="1393"/>
      <c r="O228" s="1373" t="s">
        <v>2025</v>
      </c>
      <c r="P228" s="1375" t="str">
        <f>IFERROR(VLOOKUP('別紙様式2-2（４・５月分）'!AQ173,【参考】数式用!$AR$5:$AT$22,3,FALSE),"")</f>
        <v/>
      </c>
      <c r="Q228" s="1377" t="s">
        <v>2036</v>
      </c>
      <c r="R228" s="1379" t="str">
        <f>IFERROR(VLOOKUP(K226,【参考】数式用!$A$5:$AB$37,MATCH(P228,【参考】数式用!$B$4:$AB$4,0)+1,0),"")</f>
        <v/>
      </c>
      <c r="S228" s="1381" t="s">
        <v>161</v>
      </c>
      <c r="T228" s="1383"/>
      <c r="U228" s="1385" t="str">
        <f>IFERROR(VLOOKUP(K226,【参考】数式用!$A$5:$AB$37,MATCH(T228,【参考】数式用!$B$4:$AB$4,0)+1,0),"")</f>
        <v/>
      </c>
      <c r="V228" s="1387" t="s">
        <v>15</v>
      </c>
      <c r="W228" s="1389">
        <v>7</v>
      </c>
      <c r="X228" s="1363" t="s">
        <v>10</v>
      </c>
      <c r="Y228" s="1389">
        <v>4</v>
      </c>
      <c r="Z228" s="1363" t="s">
        <v>38</v>
      </c>
      <c r="AA228" s="1389">
        <v>8</v>
      </c>
      <c r="AB228" s="1363" t="s">
        <v>10</v>
      </c>
      <c r="AC228" s="1389">
        <v>3</v>
      </c>
      <c r="AD228" s="1363" t="s">
        <v>13</v>
      </c>
      <c r="AE228" s="1363" t="s">
        <v>20</v>
      </c>
      <c r="AF228" s="1363">
        <f>IF(W228&gt;=1,(AA228*12+AC228)-(W228*12+Y228)+1,"")</f>
        <v>12</v>
      </c>
      <c r="AG228" s="1359" t="s">
        <v>33</v>
      </c>
      <c r="AH228" s="1365" t="str">
        <f t="shared" ref="AH228" si="583">IFERROR(ROUNDDOWN(ROUND(L226*U228,0),0)*AF228,"")</f>
        <v/>
      </c>
      <c r="AI228" s="1367" t="str">
        <f t="shared" ref="AI228" si="584">IFERROR(ROUNDDOWN(ROUND((L226*(U228-AW226)),0),0)*AF228,"")</f>
        <v/>
      </c>
      <c r="AJ228" s="1369">
        <f>IFERROR(IF(OR(M226="",M227="",M229=""),0,ROUNDDOWN(ROUNDDOWN(ROUND(L226*VLOOKUP(K226,【参考】数式用!$A$5:$AB$37,MATCH("新加算Ⅳ",【参考】数式用!$B$4:$AB$4,0)+1,0),0),0)*AF228*0.5,0)),"")</f>
        <v>0</v>
      </c>
      <c r="AK228" s="1339" t="str">
        <f t="shared" ref="AK228" si="585">IF(T228&lt;&gt;"","新規に適用","")</f>
        <v/>
      </c>
      <c r="AL228" s="1343">
        <f>IFERROR(IF(OR(M229="ベア加算",M229=""),0, IF(OR(T226="新加算Ⅰ",T226="新加算Ⅱ",T226="新加算Ⅲ",T226="新加算Ⅳ"),0,ROUNDDOWN(ROUND(L226*VLOOKUP(K226,【参考】数式用!$A$5:$I$37,MATCH("ベア加算",【参考】数式用!$B$4:$I$4,0)+1,0),0),0)*AF228)),"")</f>
        <v>0</v>
      </c>
      <c r="AM228" s="1313" t="str">
        <f>IF(AND(T228&lt;&gt;"",AM226=""),"新規に適用",IF(AND(T228&lt;&gt;"",AM226&lt;&gt;""),"継続で適用",""))</f>
        <v/>
      </c>
      <c r="AN228" s="1313" t="str">
        <f>IF(AND(T228&lt;&gt;"",AN226=""),"新規に適用",IF(AND(T228&lt;&gt;"",AN226&lt;&gt;""),"継続で適用",""))</f>
        <v/>
      </c>
      <c r="AO228" s="1361"/>
      <c r="AP228" s="1313" t="str">
        <f>IF(AND(T228&lt;&gt;"",AP226=""),"新規に適用",IF(AND(T228&lt;&gt;"",AP226&lt;&gt;""),"継続で適用",""))</f>
        <v/>
      </c>
      <c r="AQ228" s="1317" t="str">
        <f t="shared" si="420"/>
        <v/>
      </c>
      <c r="AR228" s="1313" t="str">
        <f>IF(AND(T228&lt;&gt;"",AR226=""),"新規に適用",IF(AND(T228&lt;&gt;"",AR226&lt;&gt;""),"継続で適用",""))</f>
        <v/>
      </c>
      <c r="AS228" s="1302"/>
      <c r="AT228" s="554"/>
      <c r="AU228" s="1303" t="str">
        <f>IF(K226&lt;&gt;"","V列に色付け","")</f>
        <v/>
      </c>
      <c r="AV228" s="1304"/>
      <c r="AW228" s="1305"/>
      <c r="AX228"/>
      <c r="AY228"/>
      <c r="AZ228"/>
      <c r="BA228"/>
      <c r="BB228"/>
      <c r="BC228"/>
      <c r="BD228"/>
      <c r="BE228"/>
      <c r="BF228"/>
      <c r="BG228"/>
      <c r="BH228"/>
      <c r="BI228"/>
      <c r="BJ228"/>
      <c r="BK228" s="452" t="str">
        <f>G226</f>
        <v/>
      </c>
    </row>
    <row r="229" spans="1:63" ht="30" customHeight="1" thickBot="1">
      <c r="A229" s="1268"/>
      <c r="B229" s="1411"/>
      <c r="C229" s="1412"/>
      <c r="D229" s="1412"/>
      <c r="E229" s="1412"/>
      <c r="F229" s="1413"/>
      <c r="G229" s="1253"/>
      <c r="H229" s="1253"/>
      <c r="I229" s="1253"/>
      <c r="J229" s="1416"/>
      <c r="K229" s="1253"/>
      <c r="L229" s="1277"/>
      <c r="M229" s="553" t="str">
        <f>IF('別紙様式2-2（４・５月分）'!P175="","",'別紙様式2-2（４・５月分）'!P175)</f>
        <v/>
      </c>
      <c r="N229" s="1394"/>
      <c r="O229" s="1374"/>
      <c r="P229" s="1376"/>
      <c r="Q229" s="1378"/>
      <c r="R229" s="1380"/>
      <c r="S229" s="1382"/>
      <c r="T229" s="1384"/>
      <c r="U229" s="1386"/>
      <c r="V229" s="1388"/>
      <c r="W229" s="1390"/>
      <c r="X229" s="1364"/>
      <c r="Y229" s="1390"/>
      <c r="Z229" s="1364"/>
      <c r="AA229" s="1390"/>
      <c r="AB229" s="1364"/>
      <c r="AC229" s="1390"/>
      <c r="AD229" s="1364"/>
      <c r="AE229" s="1364"/>
      <c r="AF229" s="1364"/>
      <c r="AG229" s="1360"/>
      <c r="AH229" s="1366"/>
      <c r="AI229" s="1368"/>
      <c r="AJ229" s="1370"/>
      <c r="AK229" s="1340"/>
      <c r="AL229" s="1344"/>
      <c r="AM229" s="1314"/>
      <c r="AN229" s="1314"/>
      <c r="AO229" s="1362"/>
      <c r="AP229" s="1314"/>
      <c r="AQ229" s="1318"/>
      <c r="AR229" s="1314"/>
      <c r="AS229" s="490"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4"/>
      <c r="AU229" s="1303"/>
      <c r="AV229" s="555" t="str">
        <f>IF('別紙様式2-2（４・５月分）'!N175="","",'別紙様式2-2（４・５月分）'!N175)</f>
        <v/>
      </c>
      <c r="AW229" s="1305"/>
      <c r="AX229"/>
      <c r="AY229"/>
      <c r="AZ229"/>
      <c r="BA229"/>
      <c r="BB229"/>
      <c r="BC229"/>
      <c r="BD229"/>
      <c r="BE229"/>
      <c r="BF229"/>
      <c r="BG229"/>
      <c r="BH229"/>
      <c r="BI229"/>
      <c r="BJ229"/>
      <c r="BK229" s="452" t="str">
        <f>G226</f>
        <v/>
      </c>
    </row>
    <row r="230" spans="1:63" ht="30" customHeight="1">
      <c r="A230" s="1266">
        <v>55</v>
      </c>
      <c r="B230" s="1232" t="str">
        <f>IF(基本情報入力シート!C108="","",基本情報入力シート!C108)</f>
        <v/>
      </c>
      <c r="C230" s="1233"/>
      <c r="D230" s="1233"/>
      <c r="E230" s="1233"/>
      <c r="F230" s="1234"/>
      <c r="G230" s="1251" t="str">
        <f>IF(基本情報入力シート!M108="","",基本情報入力シート!M108)</f>
        <v/>
      </c>
      <c r="H230" s="1251" t="str">
        <f>IF(基本情報入力シート!R108="","",基本情報入力シート!R108)</f>
        <v/>
      </c>
      <c r="I230" s="1251" t="str">
        <f>IF(基本情報入力シート!W108="","",基本情報入力シート!W108)</f>
        <v/>
      </c>
      <c r="J230" s="1414" t="str">
        <f>IF(基本情報入力シート!X108="","",基本情報入力シート!X108)</f>
        <v/>
      </c>
      <c r="K230" s="1251" t="str">
        <f>IF(基本情報入力シート!Y108="","",基本情報入力シート!Y108)</f>
        <v/>
      </c>
      <c r="L230" s="1275" t="str">
        <f>IF(基本情報入力シート!AB108="","",基本情報入力シート!AB108)</f>
        <v/>
      </c>
      <c r="M230" s="550" t="str">
        <f>IF('別紙様式2-2（４・５月分）'!P176="","",'別紙様式2-2（４・５月分）'!P176)</f>
        <v/>
      </c>
      <c r="N230" s="1391" t="str">
        <f>IF(SUM('別紙様式2-2（４・５月分）'!Q176:Q178)=0,"",SUM('別紙様式2-2（４・５月分）'!Q176:Q178))</f>
        <v/>
      </c>
      <c r="O230" s="1395" t="str">
        <f>IFERROR(VLOOKUP('別紙様式2-2（４・５月分）'!AQ176,【参考】数式用!$AR$5:$AS$22,2,FALSE),"")</f>
        <v/>
      </c>
      <c r="P230" s="1396"/>
      <c r="Q230" s="1397"/>
      <c r="R230" s="1401" t="str">
        <f>IFERROR(VLOOKUP(K230,【参考】数式用!$A$5:$AB$37,MATCH(O230,【参考】数式用!$B$4:$AB$4,0)+1,0),"")</f>
        <v/>
      </c>
      <c r="S230" s="1403" t="s">
        <v>2021</v>
      </c>
      <c r="T230" s="1405"/>
      <c r="U230" s="1407" t="str">
        <f>IFERROR(VLOOKUP(K230,【参考】数式用!$A$5:$AB$37,MATCH(T230,【参考】数式用!$B$4:$AB$4,0)+1,0),"")</f>
        <v/>
      </c>
      <c r="V230" s="1409" t="s">
        <v>15</v>
      </c>
      <c r="W230" s="1347">
        <v>6</v>
      </c>
      <c r="X230" s="1349" t="s">
        <v>10</v>
      </c>
      <c r="Y230" s="1347">
        <v>6</v>
      </c>
      <c r="Z230" s="1349" t="s">
        <v>38</v>
      </c>
      <c r="AA230" s="1347">
        <v>7</v>
      </c>
      <c r="AB230" s="1349" t="s">
        <v>10</v>
      </c>
      <c r="AC230" s="1347">
        <v>3</v>
      </c>
      <c r="AD230" s="1349" t="s">
        <v>13</v>
      </c>
      <c r="AE230" s="1349" t="s">
        <v>20</v>
      </c>
      <c r="AF230" s="1349">
        <f>IF(W230&gt;=1,(AA230*12+AC230)-(W230*12+Y230)+1,"")</f>
        <v>10</v>
      </c>
      <c r="AG230" s="1351" t="s">
        <v>33</v>
      </c>
      <c r="AH230" s="1353" t="str">
        <f t="shared" ref="AH230" si="587">IFERROR(ROUNDDOWN(ROUND(L230*U230,0),0)*AF230,"")</f>
        <v/>
      </c>
      <c r="AI230" s="1355" t="str">
        <f t="shared" ref="AI230" si="588">IFERROR(ROUNDDOWN(ROUND((L230*(U230-AW230)),0),0)*AF230,"")</f>
        <v/>
      </c>
      <c r="AJ230" s="1357">
        <f>IFERROR(IF(OR(M230="",M231="",M233=""),0,ROUNDDOWN(ROUNDDOWN(ROUND(L230*VLOOKUP(K230,【参考】数式用!$A$5:$AB$37,MATCH("新加算Ⅳ",【参考】数式用!$B$4:$AB$4,0)+1,0),0),0)*AF230*0.5,0)),"")</f>
        <v>0</v>
      </c>
      <c r="AK230" s="1341"/>
      <c r="AL230" s="1345">
        <f>IFERROR(IF(OR(M233="ベア加算",M233=""),0, IF(OR(T230="新加算Ⅰ",T230="新加算Ⅱ",T230="新加算Ⅲ",T230="新加算Ⅳ"),ROUNDDOWN(ROUND(L230*VLOOKUP(K230,【参考】数式用!$A$5:$I$37,MATCH("ベア加算",【参考】数式用!$B$4:$I$4,0)+1,0),0),0)*AF230,0)),"")</f>
        <v>0</v>
      </c>
      <c r="AM230" s="1331"/>
      <c r="AN230" s="1337"/>
      <c r="AO230" s="1333"/>
      <c r="AP230" s="1333"/>
      <c r="AQ230" s="1335"/>
      <c r="AR230" s="1315"/>
      <c r="AS230" s="465" t="str">
        <f t="shared" ref="AS230" si="589">IF(AU230="","",IF(U230&lt;N230,"！加算の要件上は問題ありませんが、令和６年４・５月と比較して令和６年６月に加算率が下がる計画になっています。",""))</f>
        <v/>
      </c>
      <c r="AT230" s="554"/>
      <c r="AU230" s="1303" t="str">
        <f>IF(K230&lt;&gt;"","V列に色付け","")</f>
        <v/>
      </c>
      <c r="AV230" s="555" t="str">
        <f>IF('別紙様式2-2（４・５月分）'!N176="","",'別紙様式2-2（４・５月分）'!N176)</f>
        <v/>
      </c>
      <c r="AW230" s="1305" t="str">
        <f>IF(SUM('別紙様式2-2（４・５月分）'!O176:O178)=0,"",SUM('別紙様式2-2（４・５月分）'!O176:O178))</f>
        <v/>
      </c>
      <c r="AX230" s="1306" t="str">
        <f>IFERROR(VLOOKUP(K230,【参考】数式用!$AH$2:$AI$34,2,FALSE),"")</f>
        <v/>
      </c>
      <c r="AY230" s="1222" t="s">
        <v>1959</v>
      </c>
      <c r="AZ230" s="1222" t="s">
        <v>1960</v>
      </c>
      <c r="BA230" s="1222" t="s">
        <v>1961</v>
      </c>
      <c r="BB230" s="1222" t="s">
        <v>1962</v>
      </c>
      <c r="BC230" s="1222" t="str">
        <f>IF(AND(O230&lt;&gt;"新加算Ⅰ",O230&lt;&gt;"新加算Ⅱ",O230&lt;&gt;"新加算Ⅲ",O230&lt;&gt;"新加算Ⅳ"),O230,IF(P232&lt;&gt;"",P232,""))</f>
        <v/>
      </c>
      <c r="BD230" s="1222"/>
      <c r="BE230" s="1222" t="str">
        <f t="shared" ref="BE230" si="590">IF(AL230&lt;&gt;0,IF(AM230="○","入力済","未入力"),"")</f>
        <v/>
      </c>
      <c r="BF230" s="1222"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2" t="str">
        <f>IF(OR(T230="新加算Ⅴ（７）",T230="新加算Ⅴ（９）",T230="新加算Ⅴ（10）",T230="新加算Ⅴ（12）",T230="新加算Ⅴ（13）",T230="新加算Ⅴ（14）"),IF(OR(AO230="○",AO230="令和６年度中に満たす"),"入力済","未入力"),"")</f>
        <v/>
      </c>
      <c r="BH230" s="1323" t="str">
        <f t="shared" ref="BH230" si="591">IF(OR(T230="新加算Ⅰ",T230="新加算Ⅱ",T230="新加算Ⅲ",T230="新加算Ⅴ（１）",T230="新加算Ⅴ（３）",T230="新加算Ⅴ（８）"),IF(OR(AP230="○",AP230="令和６年度中に満たす"),"入力済","未入力"),"")</f>
        <v/>
      </c>
      <c r="BI230" s="1325" t="str">
        <f t="shared" ref="BI230" si="592">IF(OR(T230="新加算Ⅰ",T230="新加算Ⅱ",T230="新加算Ⅴ（１）",T230="新加算Ⅴ（２）",T230="新加算Ⅴ（３）",T230="新加算Ⅴ（４）",T230="新加算Ⅴ（５）",T230="新加算Ⅴ（６）",T230="新加算Ⅴ（７）",T230="新加算Ⅴ（９）",T230="新加算Ⅴ（10）",T230="新加算Ⅴ（12）"),1,"")</f>
        <v/>
      </c>
      <c r="BJ230" s="1303" t="str">
        <f>IF(OR(T230="新加算Ⅰ",T230="新加算Ⅴ（１）",T230="新加算Ⅴ（２）",T230="新加算Ⅴ（５）",T230="新加算Ⅴ（７）",T230="新加算Ⅴ（10）"),IF(AR230="","未入力","入力済"),"")</f>
        <v/>
      </c>
      <c r="BK230" s="452" t="str">
        <f>G230</f>
        <v/>
      </c>
    </row>
    <row r="231" spans="1:63" ht="15" customHeight="1">
      <c r="A231" s="1267"/>
      <c r="B231" s="1235"/>
      <c r="C231" s="1236"/>
      <c r="D231" s="1236"/>
      <c r="E231" s="1236"/>
      <c r="F231" s="1237"/>
      <c r="G231" s="1252"/>
      <c r="H231" s="1252"/>
      <c r="I231" s="1252"/>
      <c r="J231" s="1415"/>
      <c r="K231" s="1252"/>
      <c r="L231" s="1276"/>
      <c r="M231" s="1371" t="str">
        <f>IF('別紙様式2-2（４・５月分）'!P177="","",'別紙様式2-2（４・５月分）'!P177)</f>
        <v/>
      </c>
      <c r="N231" s="1392"/>
      <c r="O231" s="1398"/>
      <c r="P231" s="1399"/>
      <c r="Q231" s="1400"/>
      <c r="R231" s="1402"/>
      <c r="S231" s="1404"/>
      <c r="T231" s="1406"/>
      <c r="U231" s="1408"/>
      <c r="V231" s="1410"/>
      <c r="W231" s="1348"/>
      <c r="X231" s="1350"/>
      <c r="Y231" s="1348"/>
      <c r="Z231" s="1350"/>
      <c r="AA231" s="1348"/>
      <c r="AB231" s="1350"/>
      <c r="AC231" s="1348"/>
      <c r="AD231" s="1350"/>
      <c r="AE231" s="1350"/>
      <c r="AF231" s="1350"/>
      <c r="AG231" s="1352"/>
      <c r="AH231" s="1354"/>
      <c r="AI231" s="1356"/>
      <c r="AJ231" s="1358"/>
      <c r="AK231" s="1342"/>
      <c r="AL231" s="1346"/>
      <c r="AM231" s="1332"/>
      <c r="AN231" s="1338"/>
      <c r="AO231" s="1334"/>
      <c r="AP231" s="1334"/>
      <c r="AQ231" s="1336"/>
      <c r="AR231" s="1316"/>
      <c r="AS231" s="1302"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4"/>
      <c r="AU231" s="1303"/>
      <c r="AV231" s="1304" t="str">
        <f>IF('別紙様式2-2（４・５月分）'!N177="","",'別紙様式2-2（４・５月分）'!N177)</f>
        <v/>
      </c>
      <c r="AW231" s="1305"/>
      <c r="AX231" s="1306"/>
      <c r="AY231" s="1222"/>
      <c r="AZ231" s="1222"/>
      <c r="BA231" s="1222"/>
      <c r="BB231" s="1222"/>
      <c r="BC231" s="1222"/>
      <c r="BD231" s="1222"/>
      <c r="BE231" s="1222"/>
      <c r="BF231" s="1222"/>
      <c r="BG231" s="1222"/>
      <c r="BH231" s="1324"/>
      <c r="BI231" s="1326"/>
      <c r="BJ231" s="1303"/>
      <c r="BK231" s="452" t="str">
        <f>G230</f>
        <v/>
      </c>
    </row>
    <row r="232" spans="1:63" ht="15" customHeight="1">
      <c r="A232" s="1295"/>
      <c r="B232" s="1235"/>
      <c r="C232" s="1236"/>
      <c r="D232" s="1236"/>
      <c r="E232" s="1236"/>
      <c r="F232" s="1237"/>
      <c r="G232" s="1252"/>
      <c r="H232" s="1252"/>
      <c r="I232" s="1252"/>
      <c r="J232" s="1415"/>
      <c r="K232" s="1252"/>
      <c r="L232" s="1276"/>
      <c r="M232" s="1372"/>
      <c r="N232" s="1393"/>
      <c r="O232" s="1373" t="s">
        <v>2025</v>
      </c>
      <c r="P232" s="1375" t="str">
        <f>IFERROR(VLOOKUP('別紙様式2-2（４・５月分）'!AQ176,【参考】数式用!$AR$5:$AT$22,3,FALSE),"")</f>
        <v/>
      </c>
      <c r="Q232" s="1377" t="s">
        <v>2036</v>
      </c>
      <c r="R232" s="1379" t="str">
        <f>IFERROR(VLOOKUP(K230,【参考】数式用!$A$5:$AB$37,MATCH(P232,【参考】数式用!$B$4:$AB$4,0)+1,0),"")</f>
        <v/>
      </c>
      <c r="S232" s="1381" t="s">
        <v>161</v>
      </c>
      <c r="T232" s="1383"/>
      <c r="U232" s="1385" t="str">
        <f>IFERROR(VLOOKUP(K230,【参考】数式用!$A$5:$AB$37,MATCH(T232,【参考】数式用!$B$4:$AB$4,0)+1,0),"")</f>
        <v/>
      </c>
      <c r="V232" s="1387" t="s">
        <v>15</v>
      </c>
      <c r="W232" s="1389">
        <v>7</v>
      </c>
      <c r="X232" s="1363" t="s">
        <v>10</v>
      </c>
      <c r="Y232" s="1389">
        <v>4</v>
      </c>
      <c r="Z232" s="1363" t="s">
        <v>38</v>
      </c>
      <c r="AA232" s="1389">
        <v>8</v>
      </c>
      <c r="AB232" s="1363" t="s">
        <v>10</v>
      </c>
      <c r="AC232" s="1389">
        <v>3</v>
      </c>
      <c r="AD232" s="1363" t="s">
        <v>13</v>
      </c>
      <c r="AE232" s="1363" t="s">
        <v>20</v>
      </c>
      <c r="AF232" s="1363">
        <f>IF(W232&gt;=1,(AA232*12+AC232)-(W232*12+Y232)+1,"")</f>
        <v>12</v>
      </c>
      <c r="AG232" s="1359" t="s">
        <v>33</v>
      </c>
      <c r="AH232" s="1365" t="str">
        <f t="shared" ref="AH232" si="594">IFERROR(ROUNDDOWN(ROUND(L230*U232,0),0)*AF232,"")</f>
        <v/>
      </c>
      <c r="AI232" s="1367" t="str">
        <f t="shared" ref="AI232" si="595">IFERROR(ROUNDDOWN(ROUND((L230*(U232-AW230)),0),0)*AF232,"")</f>
        <v/>
      </c>
      <c r="AJ232" s="1369">
        <f>IFERROR(IF(OR(M230="",M231="",M233=""),0,ROUNDDOWN(ROUNDDOWN(ROUND(L230*VLOOKUP(K230,【参考】数式用!$A$5:$AB$37,MATCH("新加算Ⅳ",【参考】数式用!$B$4:$AB$4,0)+1,0),0),0)*AF232*0.5,0)),"")</f>
        <v>0</v>
      </c>
      <c r="AK232" s="1339" t="str">
        <f t="shared" ref="AK232" si="596">IF(T232&lt;&gt;"","新規に適用","")</f>
        <v/>
      </c>
      <c r="AL232" s="1343">
        <f>IFERROR(IF(OR(M233="ベア加算",M233=""),0, IF(OR(T230="新加算Ⅰ",T230="新加算Ⅱ",T230="新加算Ⅲ",T230="新加算Ⅳ"),0,ROUNDDOWN(ROUND(L230*VLOOKUP(K230,【参考】数式用!$A$5:$I$37,MATCH("ベア加算",【参考】数式用!$B$4:$I$4,0)+1,0),0),0)*AF232)),"")</f>
        <v>0</v>
      </c>
      <c r="AM232" s="1313" t="str">
        <f>IF(AND(T232&lt;&gt;"",AM230=""),"新規に適用",IF(AND(T232&lt;&gt;"",AM230&lt;&gt;""),"継続で適用",""))</f>
        <v/>
      </c>
      <c r="AN232" s="1313" t="str">
        <f>IF(AND(T232&lt;&gt;"",AN230=""),"新規に適用",IF(AND(T232&lt;&gt;"",AN230&lt;&gt;""),"継続で適用",""))</f>
        <v/>
      </c>
      <c r="AO232" s="1361"/>
      <c r="AP232" s="1313" t="str">
        <f>IF(AND(T232&lt;&gt;"",AP230=""),"新規に適用",IF(AND(T232&lt;&gt;"",AP230&lt;&gt;""),"継続で適用",""))</f>
        <v/>
      </c>
      <c r="AQ232" s="1317"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13" t="str">
        <f>IF(AND(T232&lt;&gt;"",AR230=""),"新規に適用",IF(AND(T232&lt;&gt;"",AR230&lt;&gt;""),"継続で適用",""))</f>
        <v/>
      </c>
      <c r="AS232" s="1302"/>
      <c r="AT232" s="554"/>
      <c r="AU232" s="1303" t="str">
        <f>IF(K230&lt;&gt;"","V列に色付け","")</f>
        <v/>
      </c>
      <c r="AV232" s="1304"/>
      <c r="AW232" s="1305"/>
      <c r="AX232"/>
      <c r="AY232"/>
      <c r="AZ232"/>
      <c r="BA232"/>
      <c r="BB232"/>
      <c r="BC232"/>
      <c r="BD232"/>
      <c r="BE232"/>
      <c r="BF232"/>
      <c r="BG232"/>
      <c r="BH232"/>
      <c r="BI232"/>
      <c r="BJ232"/>
      <c r="BK232" s="452" t="str">
        <f>G230</f>
        <v/>
      </c>
    </row>
    <row r="233" spans="1:63" ht="30" customHeight="1" thickBot="1">
      <c r="A233" s="1268"/>
      <c r="B233" s="1411"/>
      <c r="C233" s="1412"/>
      <c r="D233" s="1412"/>
      <c r="E233" s="1412"/>
      <c r="F233" s="1413"/>
      <c r="G233" s="1253"/>
      <c r="H233" s="1253"/>
      <c r="I233" s="1253"/>
      <c r="J233" s="1416"/>
      <c r="K233" s="1253"/>
      <c r="L233" s="1277"/>
      <c r="M233" s="553" t="str">
        <f>IF('別紙様式2-2（４・５月分）'!P178="","",'別紙様式2-2（４・５月分）'!P178)</f>
        <v/>
      </c>
      <c r="N233" s="1394"/>
      <c r="O233" s="1374"/>
      <c r="P233" s="1376"/>
      <c r="Q233" s="1378"/>
      <c r="R233" s="1380"/>
      <c r="S233" s="1382"/>
      <c r="T233" s="1384"/>
      <c r="U233" s="1386"/>
      <c r="V233" s="1388"/>
      <c r="W233" s="1390"/>
      <c r="X233" s="1364"/>
      <c r="Y233" s="1390"/>
      <c r="Z233" s="1364"/>
      <c r="AA233" s="1390"/>
      <c r="AB233" s="1364"/>
      <c r="AC233" s="1390"/>
      <c r="AD233" s="1364"/>
      <c r="AE233" s="1364"/>
      <c r="AF233" s="1364"/>
      <c r="AG233" s="1360"/>
      <c r="AH233" s="1366"/>
      <c r="AI233" s="1368"/>
      <c r="AJ233" s="1370"/>
      <c r="AK233" s="1340"/>
      <c r="AL233" s="1344"/>
      <c r="AM233" s="1314"/>
      <c r="AN233" s="1314"/>
      <c r="AO233" s="1362"/>
      <c r="AP233" s="1314"/>
      <c r="AQ233" s="1318"/>
      <c r="AR233" s="1314"/>
      <c r="AS233" s="490"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4"/>
      <c r="AU233" s="1303"/>
      <c r="AV233" s="555" t="str">
        <f>IF('別紙様式2-2（４・５月分）'!N178="","",'別紙様式2-2（４・５月分）'!N178)</f>
        <v/>
      </c>
      <c r="AW233" s="1305"/>
      <c r="AX233"/>
      <c r="AY233"/>
      <c r="AZ233"/>
      <c r="BA233"/>
      <c r="BB233"/>
      <c r="BC233"/>
      <c r="BD233"/>
      <c r="BE233"/>
      <c r="BF233"/>
      <c r="BG233"/>
      <c r="BH233"/>
      <c r="BI233"/>
      <c r="BJ233"/>
      <c r="BK233" s="452" t="str">
        <f>G230</f>
        <v/>
      </c>
    </row>
    <row r="234" spans="1:63" ht="30" customHeight="1">
      <c r="A234" s="1293">
        <v>56</v>
      </c>
      <c r="B234" s="1235" t="str">
        <f>IF(基本情報入力シート!C109="","",基本情報入力シート!C109)</f>
        <v/>
      </c>
      <c r="C234" s="1236"/>
      <c r="D234" s="1236"/>
      <c r="E234" s="1236"/>
      <c r="F234" s="1237"/>
      <c r="G234" s="1252" t="str">
        <f>IF(基本情報入力シート!M109="","",基本情報入力シート!M109)</f>
        <v/>
      </c>
      <c r="H234" s="1252" t="str">
        <f>IF(基本情報入力シート!R109="","",基本情報入力シート!R109)</f>
        <v/>
      </c>
      <c r="I234" s="1252" t="str">
        <f>IF(基本情報入力シート!W109="","",基本情報入力シート!W109)</f>
        <v/>
      </c>
      <c r="J234" s="1415" t="str">
        <f>IF(基本情報入力シート!X109="","",基本情報入力シート!X109)</f>
        <v/>
      </c>
      <c r="K234" s="1252" t="str">
        <f>IF(基本情報入力シート!Y109="","",基本情報入力シート!Y109)</f>
        <v/>
      </c>
      <c r="L234" s="1276" t="str">
        <f>IF(基本情報入力シート!AB109="","",基本情報入力シート!AB109)</f>
        <v/>
      </c>
      <c r="M234" s="550" t="str">
        <f>IF('別紙様式2-2（４・５月分）'!P179="","",'別紙様式2-2（４・５月分）'!P179)</f>
        <v/>
      </c>
      <c r="N234" s="1391" t="str">
        <f>IF(SUM('別紙様式2-2（４・５月分）'!Q179:Q181)=0,"",SUM('別紙様式2-2（４・５月分）'!Q179:Q181))</f>
        <v/>
      </c>
      <c r="O234" s="1395" t="str">
        <f>IFERROR(VLOOKUP('別紙様式2-2（４・５月分）'!AQ179,【参考】数式用!$AR$5:$AS$22,2,FALSE),"")</f>
        <v/>
      </c>
      <c r="P234" s="1396"/>
      <c r="Q234" s="1397"/>
      <c r="R234" s="1401" t="str">
        <f>IFERROR(VLOOKUP(K234,【参考】数式用!$A$5:$AB$37,MATCH(O234,【参考】数式用!$B$4:$AB$4,0)+1,0),"")</f>
        <v/>
      </c>
      <c r="S234" s="1403" t="s">
        <v>2021</v>
      </c>
      <c r="T234" s="1405"/>
      <c r="U234" s="1407" t="str">
        <f>IFERROR(VLOOKUP(K234,【参考】数式用!$A$5:$AB$37,MATCH(T234,【参考】数式用!$B$4:$AB$4,0)+1,0),"")</f>
        <v/>
      </c>
      <c r="V234" s="1409" t="s">
        <v>15</v>
      </c>
      <c r="W234" s="1347">
        <v>6</v>
      </c>
      <c r="X234" s="1349" t="s">
        <v>10</v>
      </c>
      <c r="Y234" s="1347">
        <v>6</v>
      </c>
      <c r="Z234" s="1349" t="s">
        <v>38</v>
      </c>
      <c r="AA234" s="1347">
        <v>7</v>
      </c>
      <c r="AB234" s="1349" t="s">
        <v>10</v>
      </c>
      <c r="AC234" s="1347">
        <v>3</v>
      </c>
      <c r="AD234" s="1349" t="s">
        <v>13</v>
      </c>
      <c r="AE234" s="1349" t="s">
        <v>20</v>
      </c>
      <c r="AF234" s="1349">
        <f>IF(W234&gt;=1,(AA234*12+AC234)-(W234*12+Y234)+1,"")</f>
        <v>10</v>
      </c>
      <c r="AG234" s="1351" t="s">
        <v>33</v>
      </c>
      <c r="AH234" s="1353" t="str">
        <f t="shared" ref="AH234" si="599">IFERROR(ROUNDDOWN(ROUND(L234*U234,0),0)*AF234,"")</f>
        <v/>
      </c>
      <c r="AI234" s="1355" t="str">
        <f t="shared" ref="AI234" si="600">IFERROR(ROUNDDOWN(ROUND((L234*(U234-AW234)),0),0)*AF234,"")</f>
        <v/>
      </c>
      <c r="AJ234" s="1357">
        <f>IFERROR(IF(OR(M234="",M235="",M237=""),0,ROUNDDOWN(ROUNDDOWN(ROUND(L234*VLOOKUP(K234,【参考】数式用!$A$5:$AB$37,MATCH("新加算Ⅳ",【参考】数式用!$B$4:$AB$4,0)+1,0),0),0)*AF234*0.5,0)),"")</f>
        <v>0</v>
      </c>
      <c r="AK234" s="1341"/>
      <c r="AL234" s="1345">
        <f>IFERROR(IF(OR(M237="ベア加算",M237=""),0, IF(OR(T234="新加算Ⅰ",T234="新加算Ⅱ",T234="新加算Ⅲ",T234="新加算Ⅳ"),ROUNDDOWN(ROUND(L234*VLOOKUP(K234,【参考】数式用!$A$5:$I$37,MATCH("ベア加算",【参考】数式用!$B$4:$I$4,0)+1,0),0),0)*AF234,0)),"")</f>
        <v>0</v>
      </c>
      <c r="AM234" s="1331"/>
      <c r="AN234" s="1337"/>
      <c r="AO234" s="1333"/>
      <c r="AP234" s="1333"/>
      <c r="AQ234" s="1335"/>
      <c r="AR234" s="1315"/>
      <c r="AS234" s="465" t="str">
        <f t="shared" ref="AS234" si="601">IF(AU234="","",IF(U234&lt;N234,"！加算の要件上は問題ありませんが、令和６年４・５月と比較して令和６年６月に加算率が下がる計画になっています。",""))</f>
        <v/>
      </c>
      <c r="AT234" s="554"/>
      <c r="AU234" s="1303" t="str">
        <f>IF(K234&lt;&gt;"","V列に色付け","")</f>
        <v/>
      </c>
      <c r="AV234" s="555" t="str">
        <f>IF('別紙様式2-2（４・５月分）'!N179="","",'別紙様式2-2（４・５月分）'!N179)</f>
        <v/>
      </c>
      <c r="AW234" s="1305" t="str">
        <f>IF(SUM('別紙様式2-2（４・５月分）'!O179:O181)=0,"",SUM('別紙様式2-2（４・５月分）'!O179:O181))</f>
        <v/>
      </c>
      <c r="AX234" s="1306" t="str">
        <f>IFERROR(VLOOKUP(K234,【参考】数式用!$AH$2:$AI$34,2,FALSE),"")</f>
        <v/>
      </c>
      <c r="AY234" s="1222" t="s">
        <v>1959</v>
      </c>
      <c r="AZ234" s="1222" t="s">
        <v>1960</v>
      </c>
      <c r="BA234" s="1222" t="s">
        <v>1961</v>
      </c>
      <c r="BB234" s="1222" t="s">
        <v>1962</v>
      </c>
      <c r="BC234" s="1222" t="str">
        <f>IF(AND(O234&lt;&gt;"新加算Ⅰ",O234&lt;&gt;"新加算Ⅱ",O234&lt;&gt;"新加算Ⅲ",O234&lt;&gt;"新加算Ⅳ"),O234,IF(P236&lt;&gt;"",P236,""))</f>
        <v/>
      </c>
      <c r="BD234" s="1222"/>
      <c r="BE234" s="1222" t="str">
        <f t="shared" ref="BE234" si="602">IF(AL234&lt;&gt;0,IF(AM234="○","入力済","未入力"),"")</f>
        <v/>
      </c>
      <c r="BF234" s="1222"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2" t="str">
        <f>IF(OR(T234="新加算Ⅴ（７）",T234="新加算Ⅴ（９）",T234="新加算Ⅴ（10）",T234="新加算Ⅴ（12）",T234="新加算Ⅴ（13）",T234="新加算Ⅴ（14）"),IF(OR(AO234="○",AO234="令和６年度中に満たす"),"入力済","未入力"),"")</f>
        <v/>
      </c>
      <c r="BH234" s="1323" t="str">
        <f t="shared" ref="BH234" si="603">IF(OR(T234="新加算Ⅰ",T234="新加算Ⅱ",T234="新加算Ⅲ",T234="新加算Ⅴ（１）",T234="新加算Ⅴ（３）",T234="新加算Ⅴ（８）"),IF(OR(AP234="○",AP234="令和６年度中に満たす"),"入力済","未入力"),"")</f>
        <v/>
      </c>
      <c r="BI234" s="1325" t="str">
        <f t="shared" ref="BI234" si="604">IF(OR(T234="新加算Ⅰ",T234="新加算Ⅱ",T234="新加算Ⅴ（１）",T234="新加算Ⅴ（２）",T234="新加算Ⅴ（３）",T234="新加算Ⅴ（４）",T234="新加算Ⅴ（５）",T234="新加算Ⅴ（６）",T234="新加算Ⅴ（７）",T234="新加算Ⅴ（９）",T234="新加算Ⅴ（10）",T234="新加算Ⅴ（12）"),1,"")</f>
        <v/>
      </c>
      <c r="BJ234" s="1303" t="str">
        <f>IF(OR(T234="新加算Ⅰ",T234="新加算Ⅴ（１）",T234="新加算Ⅴ（２）",T234="新加算Ⅴ（５）",T234="新加算Ⅴ（７）",T234="新加算Ⅴ（10）"),IF(AR234="","未入力","入力済"),"")</f>
        <v/>
      </c>
      <c r="BK234" s="452" t="str">
        <f>G234</f>
        <v/>
      </c>
    </row>
    <row r="235" spans="1:63" ht="15" customHeight="1">
      <c r="A235" s="1267"/>
      <c r="B235" s="1235"/>
      <c r="C235" s="1236"/>
      <c r="D235" s="1236"/>
      <c r="E235" s="1236"/>
      <c r="F235" s="1237"/>
      <c r="G235" s="1252"/>
      <c r="H235" s="1252"/>
      <c r="I235" s="1252"/>
      <c r="J235" s="1415"/>
      <c r="K235" s="1252"/>
      <c r="L235" s="1276"/>
      <c r="M235" s="1371" t="str">
        <f>IF('別紙様式2-2（４・５月分）'!P180="","",'別紙様式2-2（４・５月分）'!P180)</f>
        <v/>
      </c>
      <c r="N235" s="1392"/>
      <c r="O235" s="1398"/>
      <c r="P235" s="1399"/>
      <c r="Q235" s="1400"/>
      <c r="R235" s="1402"/>
      <c r="S235" s="1404"/>
      <c r="T235" s="1406"/>
      <c r="U235" s="1408"/>
      <c r="V235" s="1410"/>
      <c r="W235" s="1348"/>
      <c r="X235" s="1350"/>
      <c r="Y235" s="1348"/>
      <c r="Z235" s="1350"/>
      <c r="AA235" s="1348"/>
      <c r="AB235" s="1350"/>
      <c r="AC235" s="1348"/>
      <c r="AD235" s="1350"/>
      <c r="AE235" s="1350"/>
      <c r="AF235" s="1350"/>
      <c r="AG235" s="1352"/>
      <c r="AH235" s="1354"/>
      <c r="AI235" s="1356"/>
      <c r="AJ235" s="1358"/>
      <c r="AK235" s="1342"/>
      <c r="AL235" s="1346"/>
      <c r="AM235" s="1332"/>
      <c r="AN235" s="1338"/>
      <c r="AO235" s="1334"/>
      <c r="AP235" s="1334"/>
      <c r="AQ235" s="1336"/>
      <c r="AR235" s="1316"/>
      <c r="AS235" s="1302"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4"/>
      <c r="AU235" s="1303"/>
      <c r="AV235" s="1304" t="str">
        <f>IF('別紙様式2-2（４・５月分）'!N180="","",'別紙様式2-2（４・５月分）'!N180)</f>
        <v/>
      </c>
      <c r="AW235" s="1305"/>
      <c r="AX235" s="1306"/>
      <c r="AY235" s="1222"/>
      <c r="AZ235" s="1222"/>
      <c r="BA235" s="1222"/>
      <c r="BB235" s="1222"/>
      <c r="BC235" s="1222"/>
      <c r="BD235" s="1222"/>
      <c r="BE235" s="1222"/>
      <c r="BF235" s="1222"/>
      <c r="BG235" s="1222"/>
      <c r="BH235" s="1324"/>
      <c r="BI235" s="1326"/>
      <c r="BJ235" s="1303"/>
      <c r="BK235" s="452" t="str">
        <f>G234</f>
        <v/>
      </c>
    </row>
    <row r="236" spans="1:63" ht="15" customHeight="1">
      <c r="A236" s="1295"/>
      <c r="B236" s="1235"/>
      <c r="C236" s="1236"/>
      <c r="D236" s="1236"/>
      <c r="E236" s="1236"/>
      <c r="F236" s="1237"/>
      <c r="G236" s="1252"/>
      <c r="H236" s="1252"/>
      <c r="I236" s="1252"/>
      <c r="J236" s="1415"/>
      <c r="K236" s="1252"/>
      <c r="L236" s="1276"/>
      <c r="M236" s="1372"/>
      <c r="N236" s="1393"/>
      <c r="O236" s="1373" t="s">
        <v>2025</v>
      </c>
      <c r="P236" s="1375" t="str">
        <f>IFERROR(VLOOKUP('別紙様式2-2（４・５月分）'!AQ179,【参考】数式用!$AR$5:$AT$22,3,FALSE),"")</f>
        <v/>
      </c>
      <c r="Q236" s="1377" t="s">
        <v>2036</v>
      </c>
      <c r="R236" s="1379" t="str">
        <f>IFERROR(VLOOKUP(K234,【参考】数式用!$A$5:$AB$37,MATCH(P236,【参考】数式用!$B$4:$AB$4,0)+1,0),"")</f>
        <v/>
      </c>
      <c r="S236" s="1381" t="s">
        <v>161</v>
      </c>
      <c r="T236" s="1383"/>
      <c r="U236" s="1385" t="str">
        <f>IFERROR(VLOOKUP(K234,【参考】数式用!$A$5:$AB$37,MATCH(T236,【参考】数式用!$B$4:$AB$4,0)+1,0),"")</f>
        <v/>
      </c>
      <c r="V236" s="1387" t="s">
        <v>15</v>
      </c>
      <c r="W236" s="1389">
        <v>7</v>
      </c>
      <c r="X236" s="1363" t="s">
        <v>10</v>
      </c>
      <c r="Y236" s="1389">
        <v>4</v>
      </c>
      <c r="Z236" s="1363" t="s">
        <v>38</v>
      </c>
      <c r="AA236" s="1389">
        <v>8</v>
      </c>
      <c r="AB236" s="1363" t="s">
        <v>10</v>
      </c>
      <c r="AC236" s="1389">
        <v>3</v>
      </c>
      <c r="AD236" s="1363" t="s">
        <v>13</v>
      </c>
      <c r="AE236" s="1363" t="s">
        <v>20</v>
      </c>
      <c r="AF236" s="1363">
        <f>IF(W236&gt;=1,(AA236*12+AC236)-(W236*12+Y236)+1,"")</f>
        <v>12</v>
      </c>
      <c r="AG236" s="1359" t="s">
        <v>33</v>
      </c>
      <c r="AH236" s="1365" t="str">
        <f t="shared" ref="AH236" si="606">IFERROR(ROUNDDOWN(ROUND(L234*U236,0),0)*AF236,"")</f>
        <v/>
      </c>
      <c r="AI236" s="1367" t="str">
        <f t="shared" ref="AI236" si="607">IFERROR(ROUNDDOWN(ROUND((L234*(U236-AW234)),0),0)*AF236,"")</f>
        <v/>
      </c>
      <c r="AJ236" s="1369">
        <f>IFERROR(IF(OR(M234="",M235="",M237=""),0,ROUNDDOWN(ROUNDDOWN(ROUND(L234*VLOOKUP(K234,【参考】数式用!$A$5:$AB$37,MATCH("新加算Ⅳ",【参考】数式用!$B$4:$AB$4,0)+1,0),0),0)*AF236*0.5,0)),"")</f>
        <v>0</v>
      </c>
      <c r="AK236" s="1339" t="str">
        <f t="shared" ref="AK236" si="608">IF(T236&lt;&gt;"","新規に適用","")</f>
        <v/>
      </c>
      <c r="AL236" s="1343">
        <f>IFERROR(IF(OR(M237="ベア加算",M237=""),0, IF(OR(T234="新加算Ⅰ",T234="新加算Ⅱ",T234="新加算Ⅲ",T234="新加算Ⅳ"),0,ROUNDDOWN(ROUND(L234*VLOOKUP(K234,【参考】数式用!$A$5:$I$37,MATCH("ベア加算",【参考】数式用!$B$4:$I$4,0)+1,0),0),0)*AF236)),"")</f>
        <v>0</v>
      </c>
      <c r="AM236" s="1313" t="str">
        <f>IF(AND(T236&lt;&gt;"",AM234=""),"新規に適用",IF(AND(T236&lt;&gt;"",AM234&lt;&gt;""),"継続で適用",""))</f>
        <v/>
      </c>
      <c r="AN236" s="1313" t="str">
        <f>IF(AND(T236&lt;&gt;"",AN234=""),"新規に適用",IF(AND(T236&lt;&gt;"",AN234&lt;&gt;""),"継続で適用",""))</f>
        <v/>
      </c>
      <c r="AO236" s="1361"/>
      <c r="AP236" s="1313" t="str">
        <f>IF(AND(T236&lt;&gt;"",AP234=""),"新規に適用",IF(AND(T236&lt;&gt;"",AP234&lt;&gt;""),"継続で適用",""))</f>
        <v/>
      </c>
      <c r="AQ236" s="1317" t="str">
        <f t="shared" si="597"/>
        <v/>
      </c>
      <c r="AR236" s="1313" t="str">
        <f>IF(AND(T236&lt;&gt;"",AR234=""),"新規に適用",IF(AND(T236&lt;&gt;"",AR234&lt;&gt;""),"継続で適用",""))</f>
        <v/>
      </c>
      <c r="AS236" s="1302"/>
      <c r="AT236" s="554"/>
      <c r="AU236" s="1303" t="str">
        <f>IF(K234&lt;&gt;"","V列に色付け","")</f>
        <v/>
      </c>
      <c r="AV236" s="1304"/>
      <c r="AW236" s="1305"/>
      <c r="AX236"/>
      <c r="AY236"/>
      <c r="AZ236"/>
      <c r="BA236"/>
      <c r="BB236"/>
      <c r="BC236"/>
      <c r="BD236"/>
      <c r="BE236"/>
      <c r="BF236"/>
      <c r="BG236"/>
      <c r="BH236"/>
      <c r="BI236"/>
      <c r="BJ236"/>
      <c r="BK236" s="452" t="str">
        <f>G234</f>
        <v/>
      </c>
    </row>
    <row r="237" spans="1:63" ht="30" customHeight="1" thickBot="1">
      <c r="A237" s="1268"/>
      <c r="B237" s="1411"/>
      <c r="C237" s="1412"/>
      <c r="D237" s="1412"/>
      <c r="E237" s="1412"/>
      <c r="F237" s="1413"/>
      <c r="G237" s="1253"/>
      <c r="H237" s="1253"/>
      <c r="I237" s="1253"/>
      <c r="J237" s="1416"/>
      <c r="K237" s="1253"/>
      <c r="L237" s="1277"/>
      <c r="M237" s="553" t="str">
        <f>IF('別紙様式2-2（４・５月分）'!P181="","",'別紙様式2-2（４・５月分）'!P181)</f>
        <v/>
      </c>
      <c r="N237" s="1394"/>
      <c r="O237" s="1374"/>
      <c r="P237" s="1376"/>
      <c r="Q237" s="1378"/>
      <c r="R237" s="1380"/>
      <c r="S237" s="1382"/>
      <c r="T237" s="1384"/>
      <c r="U237" s="1386"/>
      <c r="V237" s="1388"/>
      <c r="W237" s="1390"/>
      <c r="X237" s="1364"/>
      <c r="Y237" s="1390"/>
      <c r="Z237" s="1364"/>
      <c r="AA237" s="1390"/>
      <c r="AB237" s="1364"/>
      <c r="AC237" s="1390"/>
      <c r="AD237" s="1364"/>
      <c r="AE237" s="1364"/>
      <c r="AF237" s="1364"/>
      <c r="AG237" s="1360"/>
      <c r="AH237" s="1366"/>
      <c r="AI237" s="1368"/>
      <c r="AJ237" s="1370"/>
      <c r="AK237" s="1340"/>
      <c r="AL237" s="1344"/>
      <c r="AM237" s="1314"/>
      <c r="AN237" s="1314"/>
      <c r="AO237" s="1362"/>
      <c r="AP237" s="1314"/>
      <c r="AQ237" s="1318"/>
      <c r="AR237" s="1314"/>
      <c r="AS237" s="490"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4"/>
      <c r="AU237" s="1303"/>
      <c r="AV237" s="555" t="str">
        <f>IF('別紙様式2-2（４・５月分）'!N181="","",'別紙様式2-2（４・５月分）'!N181)</f>
        <v/>
      </c>
      <c r="AW237" s="1305"/>
      <c r="AX237"/>
      <c r="AY237"/>
      <c r="AZ237"/>
      <c r="BA237"/>
      <c r="BB237"/>
      <c r="BC237"/>
      <c r="BD237"/>
      <c r="BE237"/>
      <c r="BF237"/>
      <c r="BG237"/>
      <c r="BH237"/>
      <c r="BI237"/>
      <c r="BJ237"/>
      <c r="BK237" s="452" t="str">
        <f>G234</f>
        <v/>
      </c>
    </row>
    <row r="238" spans="1:63" ht="30" customHeight="1">
      <c r="A238" s="1266">
        <v>57</v>
      </c>
      <c r="B238" s="1235" t="str">
        <f>IF(基本情報入力シート!C110="","",基本情報入力シート!C110)</f>
        <v/>
      </c>
      <c r="C238" s="1236"/>
      <c r="D238" s="1236"/>
      <c r="E238" s="1236"/>
      <c r="F238" s="1237"/>
      <c r="G238" s="1252" t="str">
        <f>IF(基本情報入力シート!M110="","",基本情報入力シート!M110)</f>
        <v/>
      </c>
      <c r="H238" s="1252" t="str">
        <f>IF(基本情報入力シート!R110="","",基本情報入力シート!R110)</f>
        <v/>
      </c>
      <c r="I238" s="1252" t="str">
        <f>IF(基本情報入力シート!W110="","",基本情報入力シート!W110)</f>
        <v/>
      </c>
      <c r="J238" s="1415" t="str">
        <f>IF(基本情報入力シート!X110="","",基本情報入力シート!X110)</f>
        <v/>
      </c>
      <c r="K238" s="1252" t="str">
        <f>IF(基本情報入力シート!Y110="","",基本情報入力シート!Y110)</f>
        <v/>
      </c>
      <c r="L238" s="1276" t="str">
        <f>IF(基本情報入力シート!AB110="","",基本情報入力シート!AB110)</f>
        <v/>
      </c>
      <c r="M238" s="550" t="str">
        <f>IF('別紙様式2-2（４・５月分）'!P182="","",'別紙様式2-2（４・５月分）'!P182)</f>
        <v/>
      </c>
      <c r="N238" s="1391" t="str">
        <f>IF(SUM('別紙様式2-2（４・５月分）'!Q182:Q184)=0,"",SUM('別紙様式2-2（４・５月分）'!Q182:Q184))</f>
        <v/>
      </c>
      <c r="O238" s="1395" t="str">
        <f>IFERROR(VLOOKUP('別紙様式2-2（４・５月分）'!AQ182,【参考】数式用!$AR$5:$AS$22,2,FALSE),"")</f>
        <v/>
      </c>
      <c r="P238" s="1396"/>
      <c r="Q238" s="1397"/>
      <c r="R238" s="1401" t="str">
        <f>IFERROR(VLOOKUP(K238,【参考】数式用!$A$5:$AB$37,MATCH(O238,【参考】数式用!$B$4:$AB$4,0)+1,0),"")</f>
        <v/>
      </c>
      <c r="S238" s="1403" t="s">
        <v>2021</v>
      </c>
      <c r="T238" s="1405"/>
      <c r="U238" s="1407" t="str">
        <f>IFERROR(VLOOKUP(K238,【参考】数式用!$A$5:$AB$37,MATCH(T238,【参考】数式用!$B$4:$AB$4,0)+1,0),"")</f>
        <v/>
      </c>
      <c r="V238" s="1409" t="s">
        <v>15</v>
      </c>
      <c r="W238" s="1347">
        <v>6</v>
      </c>
      <c r="X238" s="1349" t="s">
        <v>10</v>
      </c>
      <c r="Y238" s="1347">
        <v>6</v>
      </c>
      <c r="Z238" s="1349" t="s">
        <v>38</v>
      </c>
      <c r="AA238" s="1347">
        <v>7</v>
      </c>
      <c r="AB238" s="1349" t="s">
        <v>10</v>
      </c>
      <c r="AC238" s="1347">
        <v>3</v>
      </c>
      <c r="AD238" s="1349" t="s">
        <v>13</v>
      </c>
      <c r="AE238" s="1349" t="s">
        <v>20</v>
      </c>
      <c r="AF238" s="1349">
        <f>IF(W238&gt;=1,(AA238*12+AC238)-(W238*12+Y238)+1,"")</f>
        <v>10</v>
      </c>
      <c r="AG238" s="1351" t="s">
        <v>33</v>
      </c>
      <c r="AH238" s="1353" t="str">
        <f t="shared" ref="AH238" si="610">IFERROR(ROUNDDOWN(ROUND(L238*U238,0),0)*AF238,"")</f>
        <v/>
      </c>
      <c r="AI238" s="1355" t="str">
        <f t="shared" ref="AI238" si="611">IFERROR(ROUNDDOWN(ROUND((L238*(U238-AW238)),0),0)*AF238,"")</f>
        <v/>
      </c>
      <c r="AJ238" s="1357">
        <f>IFERROR(IF(OR(M238="",M239="",M241=""),0,ROUNDDOWN(ROUNDDOWN(ROUND(L238*VLOOKUP(K238,【参考】数式用!$A$5:$AB$37,MATCH("新加算Ⅳ",【参考】数式用!$B$4:$AB$4,0)+1,0),0),0)*AF238*0.5,0)),"")</f>
        <v>0</v>
      </c>
      <c r="AK238" s="1341"/>
      <c r="AL238" s="1345">
        <f>IFERROR(IF(OR(M241="ベア加算",M241=""),0, IF(OR(T238="新加算Ⅰ",T238="新加算Ⅱ",T238="新加算Ⅲ",T238="新加算Ⅳ"),ROUNDDOWN(ROUND(L238*VLOOKUP(K238,【参考】数式用!$A$5:$I$37,MATCH("ベア加算",【参考】数式用!$B$4:$I$4,0)+1,0),0),0)*AF238,0)),"")</f>
        <v>0</v>
      </c>
      <c r="AM238" s="1331"/>
      <c r="AN238" s="1337"/>
      <c r="AO238" s="1333"/>
      <c r="AP238" s="1333"/>
      <c r="AQ238" s="1335"/>
      <c r="AR238" s="1315"/>
      <c r="AS238" s="465" t="str">
        <f t="shared" ref="AS238" si="612">IF(AU238="","",IF(U238&lt;N238,"！加算の要件上は問題ありませんが、令和６年４・５月と比較して令和６年６月に加算率が下がる計画になっています。",""))</f>
        <v/>
      </c>
      <c r="AT238" s="554"/>
      <c r="AU238" s="1303" t="str">
        <f>IF(K238&lt;&gt;"","V列に色付け","")</f>
        <v/>
      </c>
      <c r="AV238" s="555" t="str">
        <f>IF('別紙様式2-2（４・５月分）'!N182="","",'別紙様式2-2（４・５月分）'!N182)</f>
        <v/>
      </c>
      <c r="AW238" s="1305" t="str">
        <f>IF(SUM('別紙様式2-2（４・５月分）'!O182:O184)=0,"",SUM('別紙様式2-2（４・５月分）'!O182:O184))</f>
        <v/>
      </c>
      <c r="AX238" s="1306" t="str">
        <f>IFERROR(VLOOKUP(K238,【参考】数式用!$AH$2:$AI$34,2,FALSE),"")</f>
        <v/>
      </c>
      <c r="AY238" s="1222" t="s">
        <v>1959</v>
      </c>
      <c r="AZ238" s="1222" t="s">
        <v>1960</v>
      </c>
      <c r="BA238" s="1222" t="s">
        <v>1961</v>
      </c>
      <c r="BB238" s="1222" t="s">
        <v>1962</v>
      </c>
      <c r="BC238" s="1222" t="str">
        <f>IF(AND(O238&lt;&gt;"新加算Ⅰ",O238&lt;&gt;"新加算Ⅱ",O238&lt;&gt;"新加算Ⅲ",O238&lt;&gt;"新加算Ⅳ"),O238,IF(P240&lt;&gt;"",P240,""))</f>
        <v/>
      </c>
      <c r="BD238" s="1222"/>
      <c r="BE238" s="1222" t="str">
        <f t="shared" ref="BE238" si="613">IF(AL238&lt;&gt;0,IF(AM238="○","入力済","未入力"),"")</f>
        <v/>
      </c>
      <c r="BF238" s="1222"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2" t="str">
        <f>IF(OR(T238="新加算Ⅴ（７）",T238="新加算Ⅴ（９）",T238="新加算Ⅴ（10）",T238="新加算Ⅴ（12）",T238="新加算Ⅴ（13）",T238="新加算Ⅴ（14）"),IF(OR(AO238="○",AO238="令和６年度中に満たす"),"入力済","未入力"),"")</f>
        <v/>
      </c>
      <c r="BH238" s="1323" t="str">
        <f t="shared" ref="BH238" si="614">IF(OR(T238="新加算Ⅰ",T238="新加算Ⅱ",T238="新加算Ⅲ",T238="新加算Ⅴ（１）",T238="新加算Ⅴ（３）",T238="新加算Ⅴ（８）"),IF(OR(AP238="○",AP238="令和６年度中に満たす"),"入力済","未入力"),"")</f>
        <v/>
      </c>
      <c r="BI238" s="1325" t="str">
        <f t="shared" ref="BI238" si="615">IF(OR(T238="新加算Ⅰ",T238="新加算Ⅱ",T238="新加算Ⅴ（１）",T238="新加算Ⅴ（２）",T238="新加算Ⅴ（３）",T238="新加算Ⅴ（４）",T238="新加算Ⅴ（５）",T238="新加算Ⅴ（６）",T238="新加算Ⅴ（７）",T238="新加算Ⅴ（９）",T238="新加算Ⅴ（10）",T238="新加算Ⅴ（12）"),1,"")</f>
        <v/>
      </c>
      <c r="BJ238" s="1303" t="str">
        <f>IF(OR(T238="新加算Ⅰ",T238="新加算Ⅴ（１）",T238="新加算Ⅴ（２）",T238="新加算Ⅴ（５）",T238="新加算Ⅴ（７）",T238="新加算Ⅴ（10）"),IF(AR238="","未入力","入力済"),"")</f>
        <v/>
      </c>
      <c r="BK238" s="452" t="str">
        <f>G238</f>
        <v/>
      </c>
    </row>
    <row r="239" spans="1:63" ht="15" customHeight="1">
      <c r="A239" s="1267"/>
      <c r="B239" s="1235"/>
      <c r="C239" s="1236"/>
      <c r="D239" s="1236"/>
      <c r="E239" s="1236"/>
      <c r="F239" s="1237"/>
      <c r="G239" s="1252"/>
      <c r="H239" s="1252"/>
      <c r="I239" s="1252"/>
      <c r="J239" s="1415"/>
      <c r="K239" s="1252"/>
      <c r="L239" s="1276"/>
      <c r="M239" s="1371" t="str">
        <f>IF('別紙様式2-2（４・５月分）'!P183="","",'別紙様式2-2（４・５月分）'!P183)</f>
        <v/>
      </c>
      <c r="N239" s="1392"/>
      <c r="O239" s="1398"/>
      <c r="P239" s="1399"/>
      <c r="Q239" s="1400"/>
      <c r="R239" s="1402"/>
      <c r="S239" s="1404"/>
      <c r="T239" s="1406"/>
      <c r="U239" s="1408"/>
      <c r="V239" s="1410"/>
      <c r="W239" s="1348"/>
      <c r="X239" s="1350"/>
      <c r="Y239" s="1348"/>
      <c r="Z239" s="1350"/>
      <c r="AA239" s="1348"/>
      <c r="AB239" s="1350"/>
      <c r="AC239" s="1348"/>
      <c r="AD239" s="1350"/>
      <c r="AE239" s="1350"/>
      <c r="AF239" s="1350"/>
      <c r="AG239" s="1352"/>
      <c r="AH239" s="1354"/>
      <c r="AI239" s="1356"/>
      <c r="AJ239" s="1358"/>
      <c r="AK239" s="1342"/>
      <c r="AL239" s="1346"/>
      <c r="AM239" s="1332"/>
      <c r="AN239" s="1338"/>
      <c r="AO239" s="1334"/>
      <c r="AP239" s="1334"/>
      <c r="AQ239" s="1336"/>
      <c r="AR239" s="1316"/>
      <c r="AS239" s="1302"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4"/>
      <c r="AU239" s="1303"/>
      <c r="AV239" s="1304" t="str">
        <f>IF('別紙様式2-2（４・５月分）'!N183="","",'別紙様式2-2（４・５月分）'!N183)</f>
        <v/>
      </c>
      <c r="AW239" s="1305"/>
      <c r="AX239" s="1306"/>
      <c r="AY239" s="1222"/>
      <c r="AZ239" s="1222"/>
      <c r="BA239" s="1222"/>
      <c r="BB239" s="1222"/>
      <c r="BC239" s="1222"/>
      <c r="BD239" s="1222"/>
      <c r="BE239" s="1222"/>
      <c r="BF239" s="1222"/>
      <c r="BG239" s="1222"/>
      <c r="BH239" s="1324"/>
      <c r="BI239" s="1326"/>
      <c r="BJ239" s="1303"/>
      <c r="BK239" s="452" t="str">
        <f>G238</f>
        <v/>
      </c>
    </row>
    <row r="240" spans="1:63" ht="15" customHeight="1">
      <c r="A240" s="1295"/>
      <c r="B240" s="1235"/>
      <c r="C240" s="1236"/>
      <c r="D240" s="1236"/>
      <c r="E240" s="1236"/>
      <c r="F240" s="1237"/>
      <c r="G240" s="1252"/>
      <c r="H240" s="1252"/>
      <c r="I240" s="1252"/>
      <c r="J240" s="1415"/>
      <c r="K240" s="1252"/>
      <c r="L240" s="1276"/>
      <c r="M240" s="1372"/>
      <c r="N240" s="1393"/>
      <c r="O240" s="1373" t="s">
        <v>2025</v>
      </c>
      <c r="P240" s="1375" t="str">
        <f>IFERROR(VLOOKUP('別紙様式2-2（４・５月分）'!AQ182,【参考】数式用!$AR$5:$AT$22,3,FALSE),"")</f>
        <v/>
      </c>
      <c r="Q240" s="1377" t="s">
        <v>2036</v>
      </c>
      <c r="R240" s="1379" t="str">
        <f>IFERROR(VLOOKUP(K238,【参考】数式用!$A$5:$AB$37,MATCH(P240,【参考】数式用!$B$4:$AB$4,0)+1,0),"")</f>
        <v/>
      </c>
      <c r="S240" s="1381" t="s">
        <v>161</v>
      </c>
      <c r="T240" s="1383"/>
      <c r="U240" s="1385" t="str">
        <f>IFERROR(VLOOKUP(K238,【参考】数式用!$A$5:$AB$37,MATCH(T240,【参考】数式用!$B$4:$AB$4,0)+1,0),"")</f>
        <v/>
      </c>
      <c r="V240" s="1387" t="s">
        <v>15</v>
      </c>
      <c r="W240" s="1389">
        <v>7</v>
      </c>
      <c r="X240" s="1363" t="s">
        <v>10</v>
      </c>
      <c r="Y240" s="1389">
        <v>4</v>
      </c>
      <c r="Z240" s="1363" t="s">
        <v>38</v>
      </c>
      <c r="AA240" s="1389">
        <v>8</v>
      </c>
      <c r="AB240" s="1363" t="s">
        <v>10</v>
      </c>
      <c r="AC240" s="1389">
        <v>3</v>
      </c>
      <c r="AD240" s="1363" t="s">
        <v>13</v>
      </c>
      <c r="AE240" s="1363" t="s">
        <v>20</v>
      </c>
      <c r="AF240" s="1363">
        <f>IF(W240&gt;=1,(AA240*12+AC240)-(W240*12+Y240)+1,"")</f>
        <v>12</v>
      </c>
      <c r="AG240" s="1359" t="s">
        <v>33</v>
      </c>
      <c r="AH240" s="1365" t="str">
        <f t="shared" ref="AH240" si="617">IFERROR(ROUNDDOWN(ROUND(L238*U240,0),0)*AF240,"")</f>
        <v/>
      </c>
      <c r="AI240" s="1367" t="str">
        <f t="shared" ref="AI240" si="618">IFERROR(ROUNDDOWN(ROUND((L238*(U240-AW238)),0),0)*AF240,"")</f>
        <v/>
      </c>
      <c r="AJ240" s="1369">
        <f>IFERROR(IF(OR(M238="",M239="",M241=""),0,ROUNDDOWN(ROUNDDOWN(ROUND(L238*VLOOKUP(K238,【参考】数式用!$A$5:$AB$37,MATCH("新加算Ⅳ",【参考】数式用!$B$4:$AB$4,0)+1,0),0),0)*AF240*0.5,0)),"")</f>
        <v>0</v>
      </c>
      <c r="AK240" s="1339" t="str">
        <f t="shared" ref="AK240" si="619">IF(T240&lt;&gt;"","新規に適用","")</f>
        <v/>
      </c>
      <c r="AL240" s="1343">
        <f>IFERROR(IF(OR(M241="ベア加算",M241=""),0, IF(OR(T238="新加算Ⅰ",T238="新加算Ⅱ",T238="新加算Ⅲ",T238="新加算Ⅳ"),0,ROUNDDOWN(ROUND(L238*VLOOKUP(K238,【参考】数式用!$A$5:$I$37,MATCH("ベア加算",【参考】数式用!$B$4:$I$4,0)+1,0),0),0)*AF240)),"")</f>
        <v>0</v>
      </c>
      <c r="AM240" s="1313" t="str">
        <f>IF(AND(T240&lt;&gt;"",AM238=""),"新規に適用",IF(AND(T240&lt;&gt;"",AM238&lt;&gt;""),"継続で適用",""))</f>
        <v/>
      </c>
      <c r="AN240" s="1313" t="str">
        <f>IF(AND(T240&lt;&gt;"",AN238=""),"新規に適用",IF(AND(T240&lt;&gt;"",AN238&lt;&gt;""),"継続で適用",""))</f>
        <v/>
      </c>
      <c r="AO240" s="1361"/>
      <c r="AP240" s="1313" t="str">
        <f>IF(AND(T240&lt;&gt;"",AP238=""),"新規に適用",IF(AND(T240&lt;&gt;"",AP238&lt;&gt;""),"継続で適用",""))</f>
        <v/>
      </c>
      <c r="AQ240" s="1317" t="str">
        <f t="shared" si="597"/>
        <v/>
      </c>
      <c r="AR240" s="1313" t="str">
        <f>IF(AND(T240&lt;&gt;"",AR238=""),"新規に適用",IF(AND(T240&lt;&gt;"",AR238&lt;&gt;""),"継続で適用",""))</f>
        <v/>
      </c>
      <c r="AS240" s="1302"/>
      <c r="AT240" s="554"/>
      <c r="AU240" s="1303" t="str">
        <f>IF(K238&lt;&gt;"","V列に色付け","")</f>
        <v/>
      </c>
      <c r="AV240" s="1304"/>
      <c r="AW240" s="1305"/>
      <c r="AX240"/>
      <c r="AY240"/>
      <c r="AZ240"/>
      <c r="BA240"/>
      <c r="BB240"/>
      <c r="BC240"/>
      <c r="BD240"/>
      <c r="BE240"/>
      <c r="BF240"/>
      <c r="BG240"/>
      <c r="BH240"/>
      <c r="BI240"/>
      <c r="BJ240"/>
      <c r="BK240" s="452" t="str">
        <f>G238</f>
        <v/>
      </c>
    </row>
    <row r="241" spans="1:63" ht="30" customHeight="1" thickBot="1">
      <c r="A241" s="1268"/>
      <c r="B241" s="1411"/>
      <c r="C241" s="1412"/>
      <c r="D241" s="1412"/>
      <c r="E241" s="1412"/>
      <c r="F241" s="1413"/>
      <c r="G241" s="1253"/>
      <c r="H241" s="1253"/>
      <c r="I241" s="1253"/>
      <c r="J241" s="1416"/>
      <c r="K241" s="1253"/>
      <c r="L241" s="1277"/>
      <c r="M241" s="553" t="str">
        <f>IF('別紙様式2-2（４・５月分）'!P184="","",'別紙様式2-2（４・５月分）'!P184)</f>
        <v/>
      </c>
      <c r="N241" s="1394"/>
      <c r="O241" s="1374"/>
      <c r="P241" s="1376"/>
      <c r="Q241" s="1378"/>
      <c r="R241" s="1380"/>
      <c r="S241" s="1382"/>
      <c r="T241" s="1384"/>
      <c r="U241" s="1386"/>
      <c r="V241" s="1388"/>
      <c r="W241" s="1390"/>
      <c r="X241" s="1364"/>
      <c r="Y241" s="1390"/>
      <c r="Z241" s="1364"/>
      <c r="AA241" s="1390"/>
      <c r="AB241" s="1364"/>
      <c r="AC241" s="1390"/>
      <c r="AD241" s="1364"/>
      <c r="AE241" s="1364"/>
      <c r="AF241" s="1364"/>
      <c r="AG241" s="1360"/>
      <c r="AH241" s="1366"/>
      <c r="AI241" s="1368"/>
      <c r="AJ241" s="1370"/>
      <c r="AK241" s="1340"/>
      <c r="AL241" s="1344"/>
      <c r="AM241" s="1314"/>
      <c r="AN241" s="1314"/>
      <c r="AO241" s="1362"/>
      <c r="AP241" s="1314"/>
      <c r="AQ241" s="1318"/>
      <c r="AR241" s="1314"/>
      <c r="AS241" s="490"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4"/>
      <c r="AU241" s="1303"/>
      <c r="AV241" s="555" t="str">
        <f>IF('別紙様式2-2（４・５月分）'!N184="","",'別紙様式2-2（４・５月分）'!N184)</f>
        <v/>
      </c>
      <c r="AW241" s="1305"/>
      <c r="AX241"/>
      <c r="AY241"/>
      <c r="AZ241"/>
      <c r="BA241"/>
      <c r="BB241"/>
      <c r="BC241"/>
      <c r="BD241"/>
      <c r="BE241"/>
      <c r="BF241"/>
      <c r="BG241"/>
      <c r="BH241"/>
      <c r="BI241"/>
      <c r="BJ241"/>
      <c r="BK241" s="452" t="str">
        <f>G238</f>
        <v/>
      </c>
    </row>
    <row r="242" spans="1:63" ht="30" customHeight="1">
      <c r="A242" s="1293">
        <v>58</v>
      </c>
      <c r="B242" s="1232" t="str">
        <f>IF(基本情報入力シート!C111="","",基本情報入力シート!C111)</f>
        <v/>
      </c>
      <c r="C242" s="1233"/>
      <c r="D242" s="1233"/>
      <c r="E242" s="1233"/>
      <c r="F242" s="1234"/>
      <c r="G242" s="1251" t="str">
        <f>IF(基本情報入力シート!M111="","",基本情報入力シート!M111)</f>
        <v/>
      </c>
      <c r="H242" s="1251" t="str">
        <f>IF(基本情報入力シート!R111="","",基本情報入力シート!R111)</f>
        <v/>
      </c>
      <c r="I242" s="1251" t="str">
        <f>IF(基本情報入力シート!W111="","",基本情報入力シート!W111)</f>
        <v/>
      </c>
      <c r="J242" s="1414" t="str">
        <f>IF(基本情報入力シート!X111="","",基本情報入力シート!X111)</f>
        <v/>
      </c>
      <c r="K242" s="1251" t="str">
        <f>IF(基本情報入力シート!Y111="","",基本情報入力シート!Y111)</f>
        <v/>
      </c>
      <c r="L242" s="1275" t="str">
        <f>IF(基本情報入力シート!AB111="","",基本情報入力シート!AB111)</f>
        <v/>
      </c>
      <c r="M242" s="550" t="str">
        <f>IF('別紙様式2-2（４・５月分）'!P185="","",'別紙様式2-2（４・５月分）'!P185)</f>
        <v/>
      </c>
      <c r="N242" s="1391" t="str">
        <f>IF(SUM('別紙様式2-2（４・５月分）'!Q185:Q187)=0,"",SUM('別紙様式2-2（４・５月分）'!Q185:Q187))</f>
        <v/>
      </c>
      <c r="O242" s="1395" t="str">
        <f>IFERROR(VLOOKUP('別紙様式2-2（４・５月分）'!AQ185,【参考】数式用!$AR$5:$AS$22,2,FALSE),"")</f>
        <v/>
      </c>
      <c r="P242" s="1396"/>
      <c r="Q242" s="1397"/>
      <c r="R242" s="1401" t="str">
        <f>IFERROR(VLOOKUP(K242,【参考】数式用!$A$5:$AB$37,MATCH(O242,【参考】数式用!$B$4:$AB$4,0)+1,0),"")</f>
        <v/>
      </c>
      <c r="S242" s="1403" t="s">
        <v>2021</v>
      </c>
      <c r="T242" s="1405"/>
      <c r="U242" s="1407" t="str">
        <f>IFERROR(VLOOKUP(K242,【参考】数式用!$A$5:$AB$37,MATCH(T242,【参考】数式用!$B$4:$AB$4,0)+1,0),"")</f>
        <v/>
      </c>
      <c r="V242" s="1409" t="s">
        <v>15</v>
      </c>
      <c r="W242" s="1347">
        <v>6</v>
      </c>
      <c r="X242" s="1349" t="s">
        <v>10</v>
      </c>
      <c r="Y242" s="1347">
        <v>6</v>
      </c>
      <c r="Z242" s="1349" t="s">
        <v>38</v>
      </c>
      <c r="AA242" s="1347">
        <v>7</v>
      </c>
      <c r="AB242" s="1349" t="s">
        <v>10</v>
      </c>
      <c r="AC242" s="1347">
        <v>3</v>
      </c>
      <c r="AD242" s="1349" t="s">
        <v>13</v>
      </c>
      <c r="AE242" s="1349" t="s">
        <v>20</v>
      </c>
      <c r="AF242" s="1349">
        <f>IF(W242&gt;=1,(AA242*12+AC242)-(W242*12+Y242)+1,"")</f>
        <v>10</v>
      </c>
      <c r="AG242" s="1351" t="s">
        <v>33</v>
      </c>
      <c r="AH242" s="1353" t="str">
        <f t="shared" ref="AH242" si="621">IFERROR(ROUNDDOWN(ROUND(L242*U242,0),0)*AF242,"")</f>
        <v/>
      </c>
      <c r="AI242" s="1355" t="str">
        <f t="shared" ref="AI242" si="622">IFERROR(ROUNDDOWN(ROUND((L242*(U242-AW242)),0),0)*AF242,"")</f>
        <v/>
      </c>
      <c r="AJ242" s="1357">
        <f>IFERROR(IF(OR(M242="",M243="",M245=""),0,ROUNDDOWN(ROUNDDOWN(ROUND(L242*VLOOKUP(K242,【参考】数式用!$A$5:$AB$37,MATCH("新加算Ⅳ",【参考】数式用!$B$4:$AB$4,0)+1,0),0),0)*AF242*0.5,0)),"")</f>
        <v>0</v>
      </c>
      <c r="AK242" s="1341"/>
      <c r="AL242" s="1345">
        <f>IFERROR(IF(OR(M245="ベア加算",M245=""),0, IF(OR(T242="新加算Ⅰ",T242="新加算Ⅱ",T242="新加算Ⅲ",T242="新加算Ⅳ"),ROUNDDOWN(ROUND(L242*VLOOKUP(K242,【参考】数式用!$A$5:$I$37,MATCH("ベア加算",【参考】数式用!$B$4:$I$4,0)+1,0),0),0)*AF242,0)),"")</f>
        <v>0</v>
      </c>
      <c r="AM242" s="1331"/>
      <c r="AN242" s="1337"/>
      <c r="AO242" s="1333"/>
      <c r="AP242" s="1333"/>
      <c r="AQ242" s="1335"/>
      <c r="AR242" s="1315"/>
      <c r="AS242" s="465" t="str">
        <f t="shared" ref="AS242" si="623">IF(AU242="","",IF(U242&lt;N242,"！加算の要件上は問題ありませんが、令和６年４・５月と比較して令和６年６月に加算率が下がる計画になっています。",""))</f>
        <v/>
      </c>
      <c r="AT242" s="554"/>
      <c r="AU242" s="1303" t="str">
        <f>IF(K242&lt;&gt;"","V列に色付け","")</f>
        <v/>
      </c>
      <c r="AV242" s="555" t="str">
        <f>IF('別紙様式2-2（４・５月分）'!N185="","",'別紙様式2-2（４・５月分）'!N185)</f>
        <v/>
      </c>
      <c r="AW242" s="1305" t="str">
        <f>IF(SUM('別紙様式2-2（４・５月分）'!O185:O187)=0,"",SUM('別紙様式2-2（４・５月分）'!O185:O187))</f>
        <v/>
      </c>
      <c r="AX242" s="1306" t="str">
        <f>IFERROR(VLOOKUP(K242,【参考】数式用!$AH$2:$AI$34,2,FALSE),"")</f>
        <v/>
      </c>
      <c r="AY242" s="1222" t="s">
        <v>1959</v>
      </c>
      <c r="AZ242" s="1222" t="s">
        <v>1960</v>
      </c>
      <c r="BA242" s="1222" t="s">
        <v>1961</v>
      </c>
      <c r="BB242" s="1222" t="s">
        <v>1962</v>
      </c>
      <c r="BC242" s="1222" t="str">
        <f>IF(AND(O242&lt;&gt;"新加算Ⅰ",O242&lt;&gt;"新加算Ⅱ",O242&lt;&gt;"新加算Ⅲ",O242&lt;&gt;"新加算Ⅳ"),O242,IF(P244&lt;&gt;"",P244,""))</f>
        <v/>
      </c>
      <c r="BD242" s="1222"/>
      <c r="BE242" s="1222" t="str">
        <f t="shared" ref="BE242" si="624">IF(AL242&lt;&gt;0,IF(AM242="○","入力済","未入力"),"")</f>
        <v/>
      </c>
      <c r="BF242" s="1222"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2" t="str">
        <f>IF(OR(T242="新加算Ⅴ（７）",T242="新加算Ⅴ（９）",T242="新加算Ⅴ（10）",T242="新加算Ⅴ（12）",T242="新加算Ⅴ（13）",T242="新加算Ⅴ（14）"),IF(OR(AO242="○",AO242="令和６年度中に満たす"),"入力済","未入力"),"")</f>
        <v/>
      </c>
      <c r="BH242" s="1323" t="str">
        <f t="shared" ref="BH242" si="625">IF(OR(T242="新加算Ⅰ",T242="新加算Ⅱ",T242="新加算Ⅲ",T242="新加算Ⅴ（１）",T242="新加算Ⅴ（３）",T242="新加算Ⅴ（８）"),IF(OR(AP242="○",AP242="令和６年度中に満たす"),"入力済","未入力"),"")</f>
        <v/>
      </c>
      <c r="BI242" s="1325" t="str">
        <f t="shared" ref="BI242" si="626">IF(OR(T242="新加算Ⅰ",T242="新加算Ⅱ",T242="新加算Ⅴ（１）",T242="新加算Ⅴ（２）",T242="新加算Ⅴ（３）",T242="新加算Ⅴ（４）",T242="新加算Ⅴ（５）",T242="新加算Ⅴ（６）",T242="新加算Ⅴ（７）",T242="新加算Ⅴ（９）",T242="新加算Ⅴ（10）",T242="新加算Ⅴ（12）"),1,"")</f>
        <v/>
      </c>
      <c r="BJ242" s="1303" t="str">
        <f>IF(OR(T242="新加算Ⅰ",T242="新加算Ⅴ（１）",T242="新加算Ⅴ（２）",T242="新加算Ⅴ（５）",T242="新加算Ⅴ（７）",T242="新加算Ⅴ（10）"),IF(AR242="","未入力","入力済"),"")</f>
        <v/>
      </c>
      <c r="BK242" s="452" t="str">
        <f>G242</f>
        <v/>
      </c>
    </row>
    <row r="243" spans="1:63" ht="15" customHeight="1">
      <c r="A243" s="1267"/>
      <c r="B243" s="1235"/>
      <c r="C243" s="1236"/>
      <c r="D243" s="1236"/>
      <c r="E243" s="1236"/>
      <c r="F243" s="1237"/>
      <c r="G243" s="1252"/>
      <c r="H243" s="1252"/>
      <c r="I243" s="1252"/>
      <c r="J243" s="1415"/>
      <c r="K243" s="1252"/>
      <c r="L243" s="1276"/>
      <c r="M243" s="1371" t="str">
        <f>IF('別紙様式2-2（４・５月分）'!P186="","",'別紙様式2-2（４・５月分）'!P186)</f>
        <v/>
      </c>
      <c r="N243" s="1392"/>
      <c r="O243" s="1398"/>
      <c r="P243" s="1399"/>
      <c r="Q243" s="1400"/>
      <c r="R243" s="1402"/>
      <c r="S243" s="1404"/>
      <c r="T243" s="1406"/>
      <c r="U243" s="1408"/>
      <c r="V243" s="1410"/>
      <c r="W243" s="1348"/>
      <c r="X243" s="1350"/>
      <c r="Y243" s="1348"/>
      <c r="Z243" s="1350"/>
      <c r="AA243" s="1348"/>
      <c r="AB243" s="1350"/>
      <c r="AC243" s="1348"/>
      <c r="AD243" s="1350"/>
      <c r="AE243" s="1350"/>
      <c r="AF243" s="1350"/>
      <c r="AG243" s="1352"/>
      <c r="AH243" s="1354"/>
      <c r="AI243" s="1356"/>
      <c r="AJ243" s="1358"/>
      <c r="AK243" s="1342"/>
      <c r="AL243" s="1346"/>
      <c r="AM243" s="1332"/>
      <c r="AN243" s="1338"/>
      <c r="AO243" s="1334"/>
      <c r="AP243" s="1334"/>
      <c r="AQ243" s="1336"/>
      <c r="AR243" s="1316"/>
      <c r="AS243" s="1302"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4"/>
      <c r="AU243" s="1303"/>
      <c r="AV243" s="1304" t="str">
        <f>IF('別紙様式2-2（４・５月分）'!N186="","",'別紙様式2-2（４・５月分）'!N186)</f>
        <v/>
      </c>
      <c r="AW243" s="1305"/>
      <c r="AX243" s="1306"/>
      <c r="AY243" s="1222"/>
      <c r="AZ243" s="1222"/>
      <c r="BA243" s="1222"/>
      <c r="BB243" s="1222"/>
      <c r="BC243" s="1222"/>
      <c r="BD243" s="1222"/>
      <c r="BE243" s="1222"/>
      <c r="BF243" s="1222"/>
      <c r="BG243" s="1222"/>
      <c r="BH243" s="1324"/>
      <c r="BI243" s="1326"/>
      <c r="BJ243" s="1303"/>
      <c r="BK243" s="452" t="str">
        <f>G242</f>
        <v/>
      </c>
    </row>
    <row r="244" spans="1:63" ht="15" customHeight="1">
      <c r="A244" s="1295"/>
      <c r="B244" s="1235"/>
      <c r="C244" s="1236"/>
      <c r="D244" s="1236"/>
      <c r="E244" s="1236"/>
      <c r="F244" s="1237"/>
      <c r="G244" s="1252"/>
      <c r="H244" s="1252"/>
      <c r="I244" s="1252"/>
      <c r="J244" s="1415"/>
      <c r="K244" s="1252"/>
      <c r="L244" s="1276"/>
      <c r="M244" s="1372"/>
      <c r="N244" s="1393"/>
      <c r="O244" s="1373" t="s">
        <v>2025</v>
      </c>
      <c r="P244" s="1375" t="str">
        <f>IFERROR(VLOOKUP('別紙様式2-2（４・５月分）'!AQ185,【参考】数式用!$AR$5:$AT$22,3,FALSE),"")</f>
        <v/>
      </c>
      <c r="Q244" s="1377" t="s">
        <v>2036</v>
      </c>
      <c r="R244" s="1379" t="str">
        <f>IFERROR(VLOOKUP(K242,【参考】数式用!$A$5:$AB$37,MATCH(P244,【参考】数式用!$B$4:$AB$4,0)+1,0),"")</f>
        <v/>
      </c>
      <c r="S244" s="1381" t="s">
        <v>161</v>
      </c>
      <c r="T244" s="1383"/>
      <c r="U244" s="1385" t="str">
        <f>IFERROR(VLOOKUP(K242,【参考】数式用!$A$5:$AB$37,MATCH(T244,【参考】数式用!$B$4:$AB$4,0)+1,0),"")</f>
        <v/>
      </c>
      <c r="V244" s="1387" t="s">
        <v>15</v>
      </c>
      <c r="W244" s="1389">
        <v>7</v>
      </c>
      <c r="X244" s="1363" t="s">
        <v>10</v>
      </c>
      <c r="Y244" s="1389">
        <v>4</v>
      </c>
      <c r="Z244" s="1363" t="s">
        <v>38</v>
      </c>
      <c r="AA244" s="1389">
        <v>8</v>
      </c>
      <c r="AB244" s="1363" t="s">
        <v>10</v>
      </c>
      <c r="AC244" s="1389">
        <v>3</v>
      </c>
      <c r="AD244" s="1363" t="s">
        <v>13</v>
      </c>
      <c r="AE244" s="1363" t="s">
        <v>20</v>
      </c>
      <c r="AF244" s="1363">
        <f>IF(W244&gt;=1,(AA244*12+AC244)-(W244*12+Y244)+1,"")</f>
        <v>12</v>
      </c>
      <c r="AG244" s="1359" t="s">
        <v>33</v>
      </c>
      <c r="AH244" s="1365" t="str">
        <f t="shared" ref="AH244" si="628">IFERROR(ROUNDDOWN(ROUND(L242*U244,0),0)*AF244,"")</f>
        <v/>
      </c>
      <c r="AI244" s="1367" t="str">
        <f t="shared" ref="AI244" si="629">IFERROR(ROUNDDOWN(ROUND((L242*(U244-AW242)),0),0)*AF244,"")</f>
        <v/>
      </c>
      <c r="AJ244" s="1369">
        <f>IFERROR(IF(OR(M242="",M243="",M245=""),0,ROUNDDOWN(ROUNDDOWN(ROUND(L242*VLOOKUP(K242,【参考】数式用!$A$5:$AB$37,MATCH("新加算Ⅳ",【参考】数式用!$B$4:$AB$4,0)+1,0),0),0)*AF244*0.5,0)),"")</f>
        <v>0</v>
      </c>
      <c r="AK244" s="1339" t="str">
        <f t="shared" ref="AK244" si="630">IF(T244&lt;&gt;"","新規に適用","")</f>
        <v/>
      </c>
      <c r="AL244" s="1343">
        <f>IFERROR(IF(OR(M245="ベア加算",M245=""),0, IF(OR(T242="新加算Ⅰ",T242="新加算Ⅱ",T242="新加算Ⅲ",T242="新加算Ⅳ"),0,ROUNDDOWN(ROUND(L242*VLOOKUP(K242,【参考】数式用!$A$5:$I$37,MATCH("ベア加算",【参考】数式用!$B$4:$I$4,0)+1,0),0),0)*AF244)),"")</f>
        <v>0</v>
      </c>
      <c r="AM244" s="1313" t="str">
        <f>IF(AND(T244&lt;&gt;"",AM242=""),"新規に適用",IF(AND(T244&lt;&gt;"",AM242&lt;&gt;""),"継続で適用",""))</f>
        <v/>
      </c>
      <c r="AN244" s="1313" t="str">
        <f>IF(AND(T244&lt;&gt;"",AN242=""),"新規に適用",IF(AND(T244&lt;&gt;"",AN242&lt;&gt;""),"継続で適用",""))</f>
        <v/>
      </c>
      <c r="AO244" s="1361"/>
      <c r="AP244" s="1313" t="str">
        <f>IF(AND(T244&lt;&gt;"",AP242=""),"新規に適用",IF(AND(T244&lt;&gt;"",AP242&lt;&gt;""),"継続で適用",""))</f>
        <v/>
      </c>
      <c r="AQ244" s="1317" t="str">
        <f t="shared" si="597"/>
        <v/>
      </c>
      <c r="AR244" s="1313" t="str">
        <f>IF(AND(T244&lt;&gt;"",AR242=""),"新規に適用",IF(AND(T244&lt;&gt;"",AR242&lt;&gt;""),"継続で適用",""))</f>
        <v/>
      </c>
      <c r="AS244" s="1302"/>
      <c r="AT244" s="554"/>
      <c r="AU244" s="1303" t="str">
        <f>IF(K242&lt;&gt;"","V列に色付け","")</f>
        <v/>
      </c>
      <c r="AV244" s="1304"/>
      <c r="AW244" s="1305"/>
      <c r="AX244"/>
      <c r="AY244"/>
      <c r="AZ244"/>
      <c r="BA244"/>
      <c r="BB244"/>
      <c r="BC244"/>
      <c r="BD244"/>
      <c r="BE244"/>
      <c r="BF244"/>
      <c r="BG244"/>
      <c r="BH244"/>
      <c r="BI244"/>
      <c r="BJ244"/>
      <c r="BK244" s="452" t="str">
        <f>G242</f>
        <v/>
      </c>
    </row>
    <row r="245" spans="1:63" ht="30" customHeight="1" thickBot="1">
      <c r="A245" s="1268"/>
      <c r="B245" s="1411"/>
      <c r="C245" s="1412"/>
      <c r="D245" s="1412"/>
      <c r="E245" s="1412"/>
      <c r="F245" s="1413"/>
      <c r="G245" s="1253"/>
      <c r="H245" s="1253"/>
      <c r="I245" s="1253"/>
      <c r="J245" s="1416"/>
      <c r="K245" s="1253"/>
      <c r="L245" s="1277"/>
      <c r="M245" s="553" t="str">
        <f>IF('別紙様式2-2（４・５月分）'!P187="","",'別紙様式2-2（４・５月分）'!P187)</f>
        <v/>
      </c>
      <c r="N245" s="1394"/>
      <c r="O245" s="1374"/>
      <c r="P245" s="1376"/>
      <c r="Q245" s="1378"/>
      <c r="R245" s="1380"/>
      <c r="S245" s="1382"/>
      <c r="T245" s="1384"/>
      <c r="U245" s="1386"/>
      <c r="V245" s="1388"/>
      <c r="W245" s="1390"/>
      <c r="X245" s="1364"/>
      <c r="Y245" s="1390"/>
      <c r="Z245" s="1364"/>
      <c r="AA245" s="1390"/>
      <c r="AB245" s="1364"/>
      <c r="AC245" s="1390"/>
      <c r="AD245" s="1364"/>
      <c r="AE245" s="1364"/>
      <c r="AF245" s="1364"/>
      <c r="AG245" s="1360"/>
      <c r="AH245" s="1366"/>
      <c r="AI245" s="1368"/>
      <c r="AJ245" s="1370"/>
      <c r="AK245" s="1340"/>
      <c r="AL245" s="1344"/>
      <c r="AM245" s="1314"/>
      <c r="AN245" s="1314"/>
      <c r="AO245" s="1362"/>
      <c r="AP245" s="1314"/>
      <c r="AQ245" s="1318"/>
      <c r="AR245" s="1314"/>
      <c r="AS245" s="490"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4"/>
      <c r="AU245" s="1303"/>
      <c r="AV245" s="555" t="str">
        <f>IF('別紙様式2-2（４・５月分）'!N187="","",'別紙様式2-2（４・５月分）'!N187)</f>
        <v/>
      </c>
      <c r="AW245" s="1305"/>
      <c r="AX245"/>
      <c r="AY245"/>
      <c r="AZ245"/>
      <c r="BA245"/>
      <c r="BB245"/>
      <c r="BC245"/>
      <c r="BD245"/>
      <c r="BE245"/>
      <c r="BF245"/>
      <c r="BG245"/>
      <c r="BH245"/>
      <c r="BI245"/>
      <c r="BJ245"/>
      <c r="BK245" s="452" t="str">
        <f>G242</f>
        <v/>
      </c>
    </row>
    <row r="246" spans="1:63" ht="30" customHeight="1">
      <c r="A246" s="1266">
        <v>59</v>
      </c>
      <c r="B246" s="1235" t="str">
        <f>IF(基本情報入力シート!C112="","",基本情報入力シート!C112)</f>
        <v/>
      </c>
      <c r="C246" s="1236"/>
      <c r="D246" s="1236"/>
      <c r="E246" s="1236"/>
      <c r="F246" s="1237"/>
      <c r="G246" s="1252" t="str">
        <f>IF(基本情報入力シート!M112="","",基本情報入力シート!M112)</f>
        <v/>
      </c>
      <c r="H246" s="1252" t="str">
        <f>IF(基本情報入力シート!R112="","",基本情報入力シート!R112)</f>
        <v/>
      </c>
      <c r="I246" s="1252" t="str">
        <f>IF(基本情報入力シート!W112="","",基本情報入力シート!W112)</f>
        <v/>
      </c>
      <c r="J246" s="1415" t="str">
        <f>IF(基本情報入力シート!X112="","",基本情報入力シート!X112)</f>
        <v/>
      </c>
      <c r="K246" s="1252" t="str">
        <f>IF(基本情報入力シート!Y112="","",基本情報入力シート!Y112)</f>
        <v/>
      </c>
      <c r="L246" s="1276" t="str">
        <f>IF(基本情報入力シート!AB112="","",基本情報入力シート!AB112)</f>
        <v/>
      </c>
      <c r="M246" s="550" t="str">
        <f>IF('別紙様式2-2（４・５月分）'!P188="","",'別紙様式2-2（４・５月分）'!P188)</f>
        <v/>
      </c>
      <c r="N246" s="1391" t="str">
        <f>IF(SUM('別紙様式2-2（４・５月分）'!Q188:Q190)=0,"",SUM('別紙様式2-2（４・５月分）'!Q188:Q190))</f>
        <v/>
      </c>
      <c r="O246" s="1395" t="str">
        <f>IFERROR(VLOOKUP('別紙様式2-2（４・５月分）'!AQ188,【参考】数式用!$AR$5:$AS$22,2,FALSE),"")</f>
        <v/>
      </c>
      <c r="P246" s="1396"/>
      <c r="Q246" s="1397"/>
      <c r="R246" s="1401" t="str">
        <f>IFERROR(VLOOKUP(K246,【参考】数式用!$A$5:$AB$37,MATCH(O246,【参考】数式用!$B$4:$AB$4,0)+1,0),"")</f>
        <v/>
      </c>
      <c r="S246" s="1403" t="s">
        <v>2021</v>
      </c>
      <c r="T246" s="1405"/>
      <c r="U246" s="1407" t="str">
        <f>IFERROR(VLOOKUP(K246,【参考】数式用!$A$5:$AB$37,MATCH(T246,【参考】数式用!$B$4:$AB$4,0)+1,0),"")</f>
        <v/>
      </c>
      <c r="V246" s="1409" t="s">
        <v>15</v>
      </c>
      <c r="W246" s="1347">
        <v>6</v>
      </c>
      <c r="X246" s="1349" t="s">
        <v>10</v>
      </c>
      <c r="Y246" s="1347">
        <v>6</v>
      </c>
      <c r="Z246" s="1349" t="s">
        <v>38</v>
      </c>
      <c r="AA246" s="1347">
        <v>7</v>
      </c>
      <c r="AB246" s="1349" t="s">
        <v>10</v>
      </c>
      <c r="AC246" s="1347">
        <v>3</v>
      </c>
      <c r="AD246" s="1349" t="s">
        <v>13</v>
      </c>
      <c r="AE246" s="1349" t="s">
        <v>20</v>
      </c>
      <c r="AF246" s="1349">
        <f>IF(W246&gt;=1,(AA246*12+AC246)-(W246*12+Y246)+1,"")</f>
        <v>10</v>
      </c>
      <c r="AG246" s="1351" t="s">
        <v>33</v>
      </c>
      <c r="AH246" s="1353" t="str">
        <f t="shared" ref="AH246" si="632">IFERROR(ROUNDDOWN(ROUND(L246*U246,0),0)*AF246,"")</f>
        <v/>
      </c>
      <c r="AI246" s="1355" t="str">
        <f t="shared" ref="AI246" si="633">IFERROR(ROUNDDOWN(ROUND((L246*(U246-AW246)),0),0)*AF246,"")</f>
        <v/>
      </c>
      <c r="AJ246" s="1357">
        <f>IFERROR(IF(OR(M246="",M247="",M249=""),0,ROUNDDOWN(ROUNDDOWN(ROUND(L246*VLOOKUP(K246,【参考】数式用!$A$5:$AB$37,MATCH("新加算Ⅳ",【参考】数式用!$B$4:$AB$4,0)+1,0),0),0)*AF246*0.5,0)),"")</f>
        <v>0</v>
      </c>
      <c r="AK246" s="1341"/>
      <c r="AL246" s="1345">
        <f>IFERROR(IF(OR(M249="ベア加算",M249=""),0, IF(OR(T246="新加算Ⅰ",T246="新加算Ⅱ",T246="新加算Ⅲ",T246="新加算Ⅳ"),ROUNDDOWN(ROUND(L246*VLOOKUP(K246,【参考】数式用!$A$5:$I$37,MATCH("ベア加算",【参考】数式用!$B$4:$I$4,0)+1,0),0),0)*AF246,0)),"")</f>
        <v>0</v>
      </c>
      <c r="AM246" s="1331"/>
      <c r="AN246" s="1337"/>
      <c r="AO246" s="1333"/>
      <c r="AP246" s="1333"/>
      <c r="AQ246" s="1335"/>
      <c r="AR246" s="1315"/>
      <c r="AS246" s="465" t="str">
        <f t="shared" ref="AS246" si="634">IF(AU246="","",IF(U246&lt;N246,"！加算の要件上は問題ありませんが、令和６年４・５月と比較して令和６年６月に加算率が下がる計画になっています。",""))</f>
        <v/>
      </c>
      <c r="AT246" s="554"/>
      <c r="AU246" s="1303" t="str">
        <f>IF(K246&lt;&gt;"","V列に色付け","")</f>
        <v/>
      </c>
      <c r="AV246" s="555" t="str">
        <f>IF('別紙様式2-2（４・５月分）'!N188="","",'別紙様式2-2（４・５月分）'!N188)</f>
        <v/>
      </c>
      <c r="AW246" s="1305" t="str">
        <f>IF(SUM('別紙様式2-2（４・５月分）'!O188:O190)=0,"",SUM('別紙様式2-2（４・５月分）'!O188:O190))</f>
        <v/>
      </c>
      <c r="AX246" s="1306" t="str">
        <f>IFERROR(VLOOKUP(K246,【参考】数式用!$AH$2:$AI$34,2,FALSE),"")</f>
        <v/>
      </c>
      <c r="AY246" s="1222" t="s">
        <v>1959</v>
      </c>
      <c r="AZ246" s="1222" t="s">
        <v>1960</v>
      </c>
      <c r="BA246" s="1222" t="s">
        <v>1961</v>
      </c>
      <c r="BB246" s="1222" t="s">
        <v>1962</v>
      </c>
      <c r="BC246" s="1222" t="str">
        <f>IF(AND(O246&lt;&gt;"新加算Ⅰ",O246&lt;&gt;"新加算Ⅱ",O246&lt;&gt;"新加算Ⅲ",O246&lt;&gt;"新加算Ⅳ"),O246,IF(P248&lt;&gt;"",P248,""))</f>
        <v/>
      </c>
      <c r="BD246" s="1222"/>
      <c r="BE246" s="1222" t="str">
        <f t="shared" ref="BE246" si="635">IF(AL246&lt;&gt;0,IF(AM246="○","入力済","未入力"),"")</f>
        <v/>
      </c>
      <c r="BF246" s="1222"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2" t="str">
        <f>IF(OR(T246="新加算Ⅴ（７）",T246="新加算Ⅴ（９）",T246="新加算Ⅴ（10）",T246="新加算Ⅴ（12）",T246="新加算Ⅴ（13）",T246="新加算Ⅴ（14）"),IF(OR(AO246="○",AO246="令和６年度中に満たす"),"入力済","未入力"),"")</f>
        <v/>
      </c>
      <c r="BH246" s="1323" t="str">
        <f t="shared" ref="BH246" si="636">IF(OR(T246="新加算Ⅰ",T246="新加算Ⅱ",T246="新加算Ⅲ",T246="新加算Ⅴ（１）",T246="新加算Ⅴ（３）",T246="新加算Ⅴ（８）"),IF(OR(AP246="○",AP246="令和６年度中に満たす"),"入力済","未入力"),"")</f>
        <v/>
      </c>
      <c r="BI246" s="1325" t="str">
        <f t="shared" ref="BI246" si="637">IF(OR(T246="新加算Ⅰ",T246="新加算Ⅱ",T246="新加算Ⅴ（１）",T246="新加算Ⅴ（２）",T246="新加算Ⅴ（３）",T246="新加算Ⅴ（４）",T246="新加算Ⅴ（５）",T246="新加算Ⅴ（６）",T246="新加算Ⅴ（７）",T246="新加算Ⅴ（９）",T246="新加算Ⅴ（10）",T246="新加算Ⅴ（12）"),1,"")</f>
        <v/>
      </c>
      <c r="BJ246" s="1303" t="str">
        <f>IF(OR(T246="新加算Ⅰ",T246="新加算Ⅴ（１）",T246="新加算Ⅴ（２）",T246="新加算Ⅴ（５）",T246="新加算Ⅴ（７）",T246="新加算Ⅴ（10）"),IF(AR246="","未入力","入力済"),"")</f>
        <v/>
      </c>
      <c r="BK246" s="452" t="str">
        <f>G246</f>
        <v/>
      </c>
    </row>
    <row r="247" spans="1:63" ht="15" customHeight="1">
      <c r="A247" s="1267"/>
      <c r="B247" s="1235"/>
      <c r="C247" s="1236"/>
      <c r="D247" s="1236"/>
      <c r="E247" s="1236"/>
      <c r="F247" s="1237"/>
      <c r="G247" s="1252"/>
      <c r="H247" s="1252"/>
      <c r="I247" s="1252"/>
      <c r="J247" s="1415"/>
      <c r="K247" s="1252"/>
      <c r="L247" s="1276"/>
      <c r="M247" s="1371" t="str">
        <f>IF('別紙様式2-2（４・５月分）'!P189="","",'別紙様式2-2（４・５月分）'!P189)</f>
        <v/>
      </c>
      <c r="N247" s="1392"/>
      <c r="O247" s="1398"/>
      <c r="P247" s="1399"/>
      <c r="Q247" s="1400"/>
      <c r="R247" s="1402"/>
      <c r="S247" s="1404"/>
      <c r="T247" s="1406"/>
      <c r="U247" s="1408"/>
      <c r="V247" s="1410"/>
      <c r="W247" s="1348"/>
      <c r="X247" s="1350"/>
      <c r="Y247" s="1348"/>
      <c r="Z247" s="1350"/>
      <c r="AA247" s="1348"/>
      <c r="AB247" s="1350"/>
      <c r="AC247" s="1348"/>
      <c r="AD247" s="1350"/>
      <c r="AE247" s="1350"/>
      <c r="AF247" s="1350"/>
      <c r="AG247" s="1352"/>
      <c r="AH247" s="1354"/>
      <c r="AI247" s="1356"/>
      <c r="AJ247" s="1358"/>
      <c r="AK247" s="1342"/>
      <c r="AL247" s="1346"/>
      <c r="AM247" s="1332"/>
      <c r="AN247" s="1338"/>
      <c r="AO247" s="1334"/>
      <c r="AP247" s="1334"/>
      <c r="AQ247" s="1336"/>
      <c r="AR247" s="1316"/>
      <c r="AS247" s="1302"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4"/>
      <c r="AU247" s="1303"/>
      <c r="AV247" s="1304" t="str">
        <f>IF('別紙様式2-2（４・５月分）'!N189="","",'別紙様式2-2（４・５月分）'!N189)</f>
        <v/>
      </c>
      <c r="AW247" s="1305"/>
      <c r="AX247" s="1306"/>
      <c r="AY247" s="1222"/>
      <c r="AZ247" s="1222"/>
      <c r="BA247" s="1222"/>
      <c r="BB247" s="1222"/>
      <c r="BC247" s="1222"/>
      <c r="BD247" s="1222"/>
      <c r="BE247" s="1222"/>
      <c r="BF247" s="1222"/>
      <c r="BG247" s="1222"/>
      <c r="BH247" s="1324"/>
      <c r="BI247" s="1326"/>
      <c r="BJ247" s="1303"/>
      <c r="BK247" s="452" t="str">
        <f>G246</f>
        <v/>
      </c>
    </row>
    <row r="248" spans="1:63" ht="15" customHeight="1">
      <c r="A248" s="1295"/>
      <c r="B248" s="1235"/>
      <c r="C248" s="1236"/>
      <c r="D248" s="1236"/>
      <c r="E248" s="1236"/>
      <c r="F248" s="1237"/>
      <c r="G248" s="1252"/>
      <c r="H248" s="1252"/>
      <c r="I248" s="1252"/>
      <c r="J248" s="1415"/>
      <c r="K248" s="1252"/>
      <c r="L248" s="1276"/>
      <c r="M248" s="1372"/>
      <c r="N248" s="1393"/>
      <c r="O248" s="1373" t="s">
        <v>2025</v>
      </c>
      <c r="P248" s="1375" t="str">
        <f>IFERROR(VLOOKUP('別紙様式2-2（４・５月分）'!AQ188,【参考】数式用!$AR$5:$AT$22,3,FALSE),"")</f>
        <v/>
      </c>
      <c r="Q248" s="1377" t="s">
        <v>2036</v>
      </c>
      <c r="R248" s="1379" t="str">
        <f>IFERROR(VLOOKUP(K246,【参考】数式用!$A$5:$AB$37,MATCH(P248,【参考】数式用!$B$4:$AB$4,0)+1,0),"")</f>
        <v/>
      </c>
      <c r="S248" s="1381" t="s">
        <v>161</v>
      </c>
      <c r="T248" s="1383"/>
      <c r="U248" s="1385" t="str">
        <f>IFERROR(VLOOKUP(K246,【参考】数式用!$A$5:$AB$37,MATCH(T248,【参考】数式用!$B$4:$AB$4,0)+1,0),"")</f>
        <v/>
      </c>
      <c r="V248" s="1387" t="s">
        <v>15</v>
      </c>
      <c r="W248" s="1389">
        <v>7</v>
      </c>
      <c r="X248" s="1363" t="s">
        <v>10</v>
      </c>
      <c r="Y248" s="1389">
        <v>4</v>
      </c>
      <c r="Z248" s="1363" t="s">
        <v>38</v>
      </c>
      <c r="AA248" s="1389">
        <v>8</v>
      </c>
      <c r="AB248" s="1363" t="s">
        <v>10</v>
      </c>
      <c r="AC248" s="1389">
        <v>3</v>
      </c>
      <c r="AD248" s="1363" t="s">
        <v>13</v>
      </c>
      <c r="AE248" s="1363" t="s">
        <v>20</v>
      </c>
      <c r="AF248" s="1363">
        <f>IF(W248&gt;=1,(AA248*12+AC248)-(W248*12+Y248)+1,"")</f>
        <v>12</v>
      </c>
      <c r="AG248" s="1359" t="s">
        <v>33</v>
      </c>
      <c r="AH248" s="1365" t="str">
        <f t="shared" ref="AH248" si="639">IFERROR(ROUNDDOWN(ROUND(L246*U248,0),0)*AF248,"")</f>
        <v/>
      </c>
      <c r="AI248" s="1367" t="str">
        <f t="shared" ref="AI248" si="640">IFERROR(ROUNDDOWN(ROUND((L246*(U248-AW246)),0),0)*AF248,"")</f>
        <v/>
      </c>
      <c r="AJ248" s="1369">
        <f>IFERROR(IF(OR(M246="",M247="",M249=""),0,ROUNDDOWN(ROUNDDOWN(ROUND(L246*VLOOKUP(K246,【参考】数式用!$A$5:$AB$37,MATCH("新加算Ⅳ",【参考】数式用!$B$4:$AB$4,0)+1,0),0),0)*AF248*0.5,0)),"")</f>
        <v>0</v>
      </c>
      <c r="AK248" s="1339" t="str">
        <f t="shared" ref="AK248" si="641">IF(T248&lt;&gt;"","新規に適用","")</f>
        <v/>
      </c>
      <c r="AL248" s="1343">
        <f>IFERROR(IF(OR(M249="ベア加算",M249=""),0, IF(OR(T246="新加算Ⅰ",T246="新加算Ⅱ",T246="新加算Ⅲ",T246="新加算Ⅳ"),0,ROUNDDOWN(ROUND(L246*VLOOKUP(K246,【参考】数式用!$A$5:$I$37,MATCH("ベア加算",【参考】数式用!$B$4:$I$4,0)+1,0),0),0)*AF248)),"")</f>
        <v>0</v>
      </c>
      <c r="AM248" s="1313" t="str">
        <f>IF(AND(T248&lt;&gt;"",AM246=""),"新規に適用",IF(AND(T248&lt;&gt;"",AM246&lt;&gt;""),"継続で適用",""))</f>
        <v/>
      </c>
      <c r="AN248" s="1313" t="str">
        <f>IF(AND(T248&lt;&gt;"",AN246=""),"新規に適用",IF(AND(T248&lt;&gt;"",AN246&lt;&gt;""),"継続で適用",""))</f>
        <v/>
      </c>
      <c r="AO248" s="1361"/>
      <c r="AP248" s="1313" t="str">
        <f>IF(AND(T248&lt;&gt;"",AP246=""),"新規に適用",IF(AND(T248&lt;&gt;"",AP246&lt;&gt;""),"継続で適用",""))</f>
        <v/>
      </c>
      <c r="AQ248" s="1317" t="str">
        <f t="shared" si="597"/>
        <v/>
      </c>
      <c r="AR248" s="1313" t="str">
        <f>IF(AND(T248&lt;&gt;"",AR246=""),"新規に適用",IF(AND(T248&lt;&gt;"",AR246&lt;&gt;""),"継続で適用",""))</f>
        <v/>
      </c>
      <c r="AS248" s="1302"/>
      <c r="AT248" s="554"/>
      <c r="AU248" s="1303" t="str">
        <f>IF(K246&lt;&gt;"","V列に色付け","")</f>
        <v/>
      </c>
      <c r="AV248" s="1304"/>
      <c r="AW248" s="1305"/>
      <c r="AX248"/>
      <c r="AY248"/>
      <c r="AZ248"/>
      <c r="BA248"/>
      <c r="BB248"/>
      <c r="BC248"/>
      <c r="BD248"/>
      <c r="BE248"/>
      <c r="BF248"/>
      <c r="BG248"/>
      <c r="BH248"/>
      <c r="BI248"/>
      <c r="BJ248"/>
      <c r="BK248" s="452" t="str">
        <f>G246</f>
        <v/>
      </c>
    </row>
    <row r="249" spans="1:63" ht="30" customHeight="1" thickBot="1">
      <c r="A249" s="1268"/>
      <c r="B249" s="1411"/>
      <c r="C249" s="1412"/>
      <c r="D249" s="1412"/>
      <c r="E249" s="1412"/>
      <c r="F249" s="1413"/>
      <c r="G249" s="1253"/>
      <c r="H249" s="1253"/>
      <c r="I249" s="1253"/>
      <c r="J249" s="1416"/>
      <c r="K249" s="1253"/>
      <c r="L249" s="1277"/>
      <c r="M249" s="553" t="str">
        <f>IF('別紙様式2-2（４・５月分）'!P190="","",'別紙様式2-2（４・５月分）'!P190)</f>
        <v/>
      </c>
      <c r="N249" s="1394"/>
      <c r="O249" s="1374"/>
      <c r="P249" s="1376"/>
      <c r="Q249" s="1378"/>
      <c r="R249" s="1380"/>
      <c r="S249" s="1382"/>
      <c r="T249" s="1384"/>
      <c r="U249" s="1386"/>
      <c r="V249" s="1388"/>
      <c r="W249" s="1390"/>
      <c r="X249" s="1364"/>
      <c r="Y249" s="1390"/>
      <c r="Z249" s="1364"/>
      <c r="AA249" s="1390"/>
      <c r="AB249" s="1364"/>
      <c r="AC249" s="1390"/>
      <c r="AD249" s="1364"/>
      <c r="AE249" s="1364"/>
      <c r="AF249" s="1364"/>
      <c r="AG249" s="1360"/>
      <c r="AH249" s="1366"/>
      <c r="AI249" s="1368"/>
      <c r="AJ249" s="1370"/>
      <c r="AK249" s="1340"/>
      <c r="AL249" s="1344"/>
      <c r="AM249" s="1314"/>
      <c r="AN249" s="1314"/>
      <c r="AO249" s="1362"/>
      <c r="AP249" s="1314"/>
      <c r="AQ249" s="1318"/>
      <c r="AR249" s="1314"/>
      <c r="AS249" s="490"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4"/>
      <c r="AU249" s="1303"/>
      <c r="AV249" s="555" t="str">
        <f>IF('別紙様式2-2（４・５月分）'!N190="","",'別紙様式2-2（４・５月分）'!N190)</f>
        <v/>
      </c>
      <c r="AW249" s="1305"/>
      <c r="AX249"/>
      <c r="AY249"/>
      <c r="AZ249"/>
      <c r="BA249"/>
      <c r="BB249"/>
      <c r="BC249"/>
      <c r="BD249"/>
      <c r="BE249"/>
      <c r="BF249"/>
      <c r="BG249"/>
      <c r="BH249"/>
      <c r="BI249"/>
      <c r="BJ249"/>
      <c r="BK249" s="452" t="str">
        <f>G246</f>
        <v/>
      </c>
    </row>
    <row r="250" spans="1:63" ht="30" customHeight="1">
      <c r="A250" s="1293">
        <v>60</v>
      </c>
      <c r="B250" s="1232" t="str">
        <f>IF(基本情報入力シート!C113="","",基本情報入力シート!C113)</f>
        <v/>
      </c>
      <c r="C250" s="1233"/>
      <c r="D250" s="1233"/>
      <c r="E250" s="1233"/>
      <c r="F250" s="1234"/>
      <c r="G250" s="1251" t="str">
        <f>IF(基本情報入力シート!M113="","",基本情報入力シート!M113)</f>
        <v/>
      </c>
      <c r="H250" s="1251" t="str">
        <f>IF(基本情報入力シート!R113="","",基本情報入力シート!R113)</f>
        <v/>
      </c>
      <c r="I250" s="1251" t="str">
        <f>IF(基本情報入力シート!W113="","",基本情報入力シート!W113)</f>
        <v/>
      </c>
      <c r="J250" s="1414" t="str">
        <f>IF(基本情報入力シート!X113="","",基本情報入力シート!X113)</f>
        <v/>
      </c>
      <c r="K250" s="1251" t="str">
        <f>IF(基本情報入力シート!Y113="","",基本情報入力シート!Y113)</f>
        <v/>
      </c>
      <c r="L250" s="1275" t="str">
        <f>IF(基本情報入力シート!AB113="","",基本情報入力シート!AB113)</f>
        <v/>
      </c>
      <c r="M250" s="550" t="str">
        <f>IF('別紙様式2-2（４・５月分）'!P191="","",'別紙様式2-2（４・５月分）'!P191)</f>
        <v/>
      </c>
      <c r="N250" s="1391" t="str">
        <f>IF(SUM('別紙様式2-2（４・５月分）'!Q191:Q193)=0,"",SUM('別紙様式2-2（４・５月分）'!Q191:Q193))</f>
        <v/>
      </c>
      <c r="O250" s="1395" t="str">
        <f>IFERROR(VLOOKUP('別紙様式2-2（４・５月分）'!AQ191,【参考】数式用!$AR$5:$AS$22,2,FALSE),"")</f>
        <v/>
      </c>
      <c r="P250" s="1396"/>
      <c r="Q250" s="1397"/>
      <c r="R250" s="1401" t="str">
        <f>IFERROR(VLOOKUP(K250,【参考】数式用!$A$5:$AB$37,MATCH(O250,【参考】数式用!$B$4:$AB$4,0)+1,0),"")</f>
        <v/>
      </c>
      <c r="S250" s="1403" t="s">
        <v>2021</v>
      </c>
      <c r="T250" s="1405"/>
      <c r="U250" s="1407" t="str">
        <f>IFERROR(VLOOKUP(K250,【参考】数式用!$A$5:$AB$37,MATCH(T250,【参考】数式用!$B$4:$AB$4,0)+1,0),"")</f>
        <v/>
      </c>
      <c r="V250" s="1409" t="s">
        <v>15</v>
      </c>
      <c r="W250" s="1347">
        <v>6</v>
      </c>
      <c r="X250" s="1349" t="s">
        <v>10</v>
      </c>
      <c r="Y250" s="1347">
        <v>6</v>
      </c>
      <c r="Z250" s="1349" t="s">
        <v>38</v>
      </c>
      <c r="AA250" s="1347">
        <v>7</v>
      </c>
      <c r="AB250" s="1349" t="s">
        <v>10</v>
      </c>
      <c r="AC250" s="1347">
        <v>3</v>
      </c>
      <c r="AD250" s="1349" t="s">
        <v>13</v>
      </c>
      <c r="AE250" s="1349" t="s">
        <v>20</v>
      </c>
      <c r="AF250" s="1349">
        <f>IF(W250&gt;=1,(AA250*12+AC250)-(W250*12+Y250)+1,"")</f>
        <v>10</v>
      </c>
      <c r="AG250" s="1351" t="s">
        <v>33</v>
      </c>
      <c r="AH250" s="1353" t="str">
        <f t="shared" ref="AH250" si="643">IFERROR(ROUNDDOWN(ROUND(L250*U250,0),0)*AF250,"")</f>
        <v/>
      </c>
      <c r="AI250" s="1355" t="str">
        <f t="shared" ref="AI250" si="644">IFERROR(ROUNDDOWN(ROUND((L250*(U250-AW250)),0),0)*AF250,"")</f>
        <v/>
      </c>
      <c r="AJ250" s="1357">
        <f>IFERROR(IF(OR(M250="",M251="",M253=""),0,ROUNDDOWN(ROUNDDOWN(ROUND(L250*VLOOKUP(K250,【参考】数式用!$A$5:$AB$37,MATCH("新加算Ⅳ",【参考】数式用!$B$4:$AB$4,0)+1,0),0),0)*AF250*0.5,0)),"")</f>
        <v>0</v>
      </c>
      <c r="AK250" s="1341"/>
      <c r="AL250" s="1345">
        <f>IFERROR(IF(OR(M253="ベア加算",M253=""),0, IF(OR(T250="新加算Ⅰ",T250="新加算Ⅱ",T250="新加算Ⅲ",T250="新加算Ⅳ"),ROUNDDOWN(ROUND(L250*VLOOKUP(K250,【参考】数式用!$A$5:$I$37,MATCH("ベア加算",【参考】数式用!$B$4:$I$4,0)+1,0),0),0)*AF250,0)),"")</f>
        <v>0</v>
      </c>
      <c r="AM250" s="1331"/>
      <c r="AN250" s="1337"/>
      <c r="AO250" s="1333"/>
      <c r="AP250" s="1333"/>
      <c r="AQ250" s="1335"/>
      <c r="AR250" s="1315"/>
      <c r="AS250" s="465" t="str">
        <f t="shared" ref="AS250" si="645">IF(AU250="","",IF(U250&lt;N250,"！加算の要件上は問題ありませんが、令和６年４・５月と比較して令和６年６月に加算率が下がる計画になっています。",""))</f>
        <v/>
      </c>
      <c r="AT250" s="554"/>
      <c r="AU250" s="1303" t="str">
        <f>IF(K250&lt;&gt;"","V列に色付け","")</f>
        <v/>
      </c>
      <c r="AV250" s="555" t="str">
        <f>IF('別紙様式2-2（４・５月分）'!N191="","",'別紙様式2-2（４・５月分）'!N191)</f>
        <v/>
      </c>
      <c r="AW250" s="1305" t="str">
        <f>IF(SUM('別紙様式2-2（４・５月分）'!O191:O193)=0,"",SUM('別紙様式2-2（４・５月分）'!O191:O193))</f>
        <v/>
      </c>
      <c r="AX250" s="1306" t="str">
        <f>IFERROR(VLOOKUP(K250,【参考】数式用!$AH$2:$AI$34,2,FALSE),"")</f>
        <v/>
      </c>
      <c r="AY250" s="1222" t="s">
        <v>1959</v>
      </c>
      <c r="AZ250" s="1222" t="s">
        <v>1960</v>
      </c>
      <c r="BA250" s="1222" t="s">
        <v>1961</v>
      </c>
      <c r="BB250" s="1222" t="s">
        <v>1962</v>
      </c>
      <c r="BC250" s="1222" t="str">
        <f>IF(AND(O250&lt;&gt;"新加算Ⅰ",O250&lt;&gt;"新加算Ⅱ",O250&lt;&gt;"新加算Ⅲ",O250&lt;&gt;"新加算Ⅳ"),O250,IF(P252&lt;&gt;"",P252,""))</f>
        <v/>
      </c>
      <c r="BD250" s="1222"/>
      <c r="BE250" s="1222" t="str">
        <f t="shared" ref="BE250" si="646">IF(AL250&lt;&gt;0,IF(AM250="○","入力済","未入力"),"")</f>
        <v/>
      </c>
      <c r="BF250" s="1222"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2" t="str">
        <f>IF(OR(T250="新加算Ⅴ（７）",T250="新加算Ⅴ（９）",T250="新加算Ⅴ（10）",T250="新加算Ⅴ（12）",T250="新加算Ⅴ（13）",T250="新加算Ⅴ（14）"),IF(OR(AO250="○",AO250="令和６年度中に満たす"),"入力済","未入力"),"")</f>
        <v/>
      </c>
      <c r="BH250" s="1323" t="str">
        <f t="shared" ref="BH250" si="647">IF(OR(T250="新加算Ⅰ",T250="新加算Ⅱ",T250="新加算Ⅲ",T250="新加算Ⅴ（１）",T250="新加算Ⅴ（３）",T250="新加算Ⅴ（８）"),IF(OR(AP250="○",AP250="令和６年度中に満たす"),"入力済","未入力"),"")</f>
        <v/>
      </c>
      <c r="BI250" s="1325" t="str">
        <f t="shared" ref="BI250" si="648">IF(OR(T250="新加算Ⅰ",T250="新加算Ⅱ",T250="新加算Ⅴ（１）",T250="新加算Ⅴ（２）",T250="新加算Ⅴ（３）",T250="新加算Ⅴ（４）",T250="新加算Ⅴ（５）",T250="新加算Ⅴ（６）",T250="新加算Ⅴ（７）",T250="新加算Ⅴ（９）",T250="新加算Ⅴ（10）",T250="新加算Ⅴ（12）"),1,"")</f>
        <v/>
      </c>
      <c r="BJ250" s="1303" t="str">
        <f>IF(OR(T250="新加算Ⅰ",T250="新加算Ⅴ（１）",T250="新加算Ⅴ（２）",T250="新加算Ⅴ（５）",T250="新加算Ⅴ（７）",T250="新加算Ⅴ（10）"),IF(AR250="","未入力","入力済"),"")</f>
        <v/>
      </c>
      <c r="BK250" s="452" t="str">
        <f>G250</f>
        <v/>
      </c>
    </row>
    <row r="251" spans="1:63" ht="15" customHeight="1">
      <c r="A251" s="1267"/>
      <c r="B251" s="1235"/>
      <c r="C251" s="1236"/>
      <c r="D251" s="1236"/>
      <c r="E251" s="1236"/>
      <c r="F251" s="1237"/>
      <c r="G251" s="1252"/>
      <c r="H251" s="1252"/>
      <c r="I251" s="1252"/>
      <c r="J251" s="1415"/>
      <c r="K251" s="1252"/>
      <c r="L251" s="1276"/>
      <c r="M251" s="1371" t="str">
        <f>IF('別紙様式2-2（４・５月分）'!P192="","",'別紙様式2-2（４・５月分）'!P192)</f>
        <v/>
      </c>
      <c r="N251" s="1392"/>
      <c r="O251" s="1398"/>
      <c r="P251" s="1399"/>
      <c r="Q251" s="1400"/>
      <c r="R251" s="1402"/>
      <c r="S251" s="1404"/>
      <c r="T251" s="1406"/>
      <c r="U251" s="1408"/>
      <c r="V251" s="1410"/>
      <c r="W251" s="1348"/>
      <c r="X251" s="1350"/>
      <c r="Y251" s="1348"/>
      <c r="Z251" s="1350"/>
      <c r="AA251" s="1348"/>
      <c r="AB251" s="1350"/>
      <c r="AC251" s="1348"/>
      <c r="AD251" s="1350"/>
      <c r="AE251" s="1350"/>
      <c r="AF251" s="1350"/>
      <c r="AG251" s="1352"/>
      <c r="AH251" s="1354"/>
      <c r="AI251" s="1356"/>
      <c r="AJ251" s="1358"/>
      <c r="AK251" s="1342"/>
      <c r="AL251" s="1346"/>
      <c r="AM251" s="1332"/>
      <c r="AN251" s="1338"/>
      <c r="AO251" s="1334"/>
      <c r="AP251" s="1334"/>
      <c r="AQ251" s="1336"/>
      <c r="AR251" s="1316"/>
      <c r="AS251" s="1302"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4"/>
      <c r="AU251" s="1303"/>
      <c r="AV251" s="1304" t="str">
        <f>IF('別紙様式2-2（４・５月分）'!N192="","",'別紙様式2-2（４・５月分）'!N192)</f>
        <v/>
      </c>
      <c r="AW251" s="1305"/>
      <c r="AX251" s="1306"/>
      <c r="AY251" s="1222"/>
      <c r="AZ251" s="1222"/>
      <c r="BA251" s="1222"/>
      <c r="BB251" s="1222"/>
      <c r="BC251" s="1222"/>
      <c r="BD251" s="1222"/>
      <c r="BE251" s="1222"/>
      <c r="BF251" s="1222"/>
      <c r="BG251" s="1222"/>
      <c r="BH251" s="1324"/>
      <c r="BI251" s="1326"/>
      <c r="BJ251" s="1303"/>
      <c r="BK251" s="452" t="str">
        <f>G250</f>
        <v/>
      </c>
    </row>
    <row r="252" spans="1:63" ht="15" customHeight="1">
      <c r="A252" s="1295"/>
      <c r="B252" s="1235"/>
      <c r="C252" s="1236"/>
      <c r="D252" s="1236"/>
      <c r="E252" s="1236"/>
      <c r="F252" s="1237"/>
      <c r="G252" s="1252"/>
      <c r="H252" s="1252"/>
      <c r="I252" s="1252"/>
      <c r="J252" s="1415"/>
      <c r="K252" s="1252"/>
      <c r="L252" s="1276"/>
      <c r="M252" s="1372"/>
      <c r="N252" s="1393"/>
      <c r="O252" s="1373" t="s">
        <v>2025</v>
      </c>
      <c r="P252" s="1375" t="str">
        <f>IFERROR(VLOOKUP('別紙様式2-2（４・５月分）'!AQ191,【参考】数式用!$AR$5:$AT$22,3,FALSE),"")</f>
        <v/>
      </c>
      <c r="Q252" s="1377" t="s">
        <v>2036</v>
      </c>
      <c r="R252" s="1379" t="str">
        <f>IFERROR(VLOOKUP(K250,【参考】数式用!$A$5:$AB$37,MATCH(P252,【参考】数式用!$B$4:$AB$4,0)+1,0),"")</f>
        <v/>
      </c>
      <c r="S252" s="1381" t="s">
        <v>161</v>
      </c>
      <c r="T252" s="1383"/>
      <c r="U252" s="1385" t="str">
        <f>IFERROR(VLOOKUP(K250,【参考】数式用!$A$5:$AB$37,MATCH(T252,【参考】数式用!$B$4:$AB$4,0)+1,0),"")</f>
        <v/>
      </c>
      <c r="V252" s="1387" t="s">
        <v>15</v>
      </c>
      <c r="W252" s="1389">
        <v>7</v>
      </c>
      <c r="X252" s="1363" t="s">
        <v>10</v>
      </c>
      <c r="Y252" s="1389">
        <v>4</v>
      </c>
      <c r="Z252" s="1363" t="s">
        <v>38</v>
      </c>
      <c r="AA252" s="1389">
        <v>8</v>
      </c>
      <c r="AB252" s="1363" t="s">
        <v>10</v>
      </c>
      <c r="AC252" s="1389">
        <v>3</v>
      </c>
      <c r="AD252" s="1363" t="s">
        <v>13</v>
      </c>
      <c r="AE252" s="1363" t="s">
        <v>20</v>
      </c>
      <c r="AF252" s="1363">
        <f>IF(W252&gt;=1,(AA252*12+AC252)-(W252*12+Y252)+1,"")</f>
        <v>12</v>
      </c>
      <c r="AG252" s="1359" t="s">
        <v>33</v>
      </c>
      <c r="AH252" s="1365" t="str">
        <f t="shared" ref="AH252" si="650">IFERROR(ROUNDDOWN(ROUND(L250*U252,0),0)*AF252,"")</f>
        <v/>
      </c>
      <c r="AI252" s="1367" t="str">
        <f t="shared" ref="AI252" si="651">IFERROR(ROUNDDOWN(ROUND((L250*(U252-AW250)),0),0)*AF252,"")</f>
        <v/>
      </c>
      <c r="AJ252" s="1369">
        <f>IFERROR(IF(OR(M250="",M251="",M253=""),0,ROUNDDOWN(ROUNDDOWN(ROUND(L250*VLOOKUP(K250,【参考】数式用!$A$5:$AB$37,MATCH("新加算Ⅳ",【参考】数式用!$B$4:$AB$4,0)+1,0),0),0)*AF252*0.5,0)),"")</f>
        <v>0</v>
      </c>
      <c r="AK252" s="1339" t="str">
        <f t="shared" ref="AK252" si="652">IF(T252&lt;&gt;"","新規に適用","")</f>
        <v/>
      </c>
      <c r="AL252" s="1343">
        <f>IFERROR(IF(OR(M253="ベア加算",M253=""),0, IF(OR(T250="新加算Ⅰ",T250="新加算Ⅱ",T250="新加算Ⅲ",T250="新加算Ⅳ"),0,ROUNDDOWN(ROUND(L250*VLOOKUP(K250,【参考】数式用!$A$5:$I$37,MATCH("ベア加算",【参考】数式用!$B$4:$I$4,0)+1,0),0),0)*AF252)),"")</f>
        <v>0</v>
      </c>
      <c r="AM252" s="1313" t="str">
        <f>IF(AND(T252&lt;&gt;"",AM250=""),"新規に適用",IF(AND(T252&lt;&gt;"",AM250&lt;&gt;""),"継続で適用",""))</f>
        <v/>
      </c>
      <c r="AN252" s="1313" t="str">
        <f>IF(AND(T252&lt;&gt;"",AN250=""),"新規に適用",IF(AND(T252&lt;&gt;"",AN250&lt;&gt;""),"継続で適用",""))</f>
        <v/>
      </c>
      <c r="AO252" s="1361"/>
      <c r="AP252" s="1313" t="str">
        <f>IF(AND(T252&lt;&gt;"",AP250=""),"新規に適用",IF(AND(T252&lt;&gt;"",AP250&lt;&gt;""),"継続で適用",""))</f>
        <v/>
      </c>
      <c r="AQ252" s="1317" t="str">
        <f t="shared" si="597"/>
        <v/>
      </c>
      <c r="AR252" s="1313" t="str">
        <f>IF(AND(T252&lt;&gt;"",AR250=""),"新規に適用",IF(AND(T252&lt;&gt;"",AR250&lt;&gt;""),"継続で適用",""))</f>
        <v/>
      </c>
      <c r="AS252" s="1302"/>
      <c r="AT252" s="554"/>
      <c r="AU252" s="1303" t="str">
        <f>IF(K250&lt;&gt;"","V列に色付け","")</f>
        <v/>
      </c>
      <c r="AV252" s="1304"/>
      <c r="AW252" s="1305"/>
      <c r="AX252"/>
      <c r="AY252"/>
      <c r="AZ252"/>
      <c r="BA252"/>
      <c r="BB252"/>
      <c r="BC252"/>
      <c r="BD252"/>
      <c r="BE252"/>
      <c r="BF252"/>
      <c r="BG252"/>
      <c r="BH252"/>
      <c r="BI252"/>
      <c r="BJ252"/>
      <c r="BK252" s="452" t="str">
        <f>G250</f>
        <v/>
      </c>
    </row>
    <row r="253" spans="1:63" ht="30" customHeight="1" thickBot="1">
      <c r="A253" s="1268"/>
      <c r="B253" s="1411"/>
      <c r="C253" s="1412"/>
      <c r="D253" s="1412"/>
      <c r="E253" s="1412"/>
      <c r="F253" s="1413"/>
      <c r="G253" s="1253"/>
      <c r="H253" s="1253"/>
      <c r="I253" s="1253"/>
      <c r="J253" s="1416"/>
      <c r="K253" s="1253"/>
      <c r="L253" s="1277"/>
      <c r="M253" s="553" t="str">
        <f>IF('別紙様式2-2（４・５月分）'!P193="","",'別紙様式2-2（４・５月分）'!P193)</f>
        <v/>
      </c>
      <c r="N253" s="1394"/>
      <c r="O253" s="1374"/>
      <c r="P253" s="1376"/>
      <c r="Q253" s="1378"/>
      <c r="R253" s="1380"/>
      <c r="S253" s="1382"/>
      <c r="T253" s="1384"/>
      <c r="U253" s="1386"/>
      <c r="V253" s="1388"/>
      <c r="W253" s="1390"/>
      <c r="X253" s="1364"/>
      <c r="Y253" s="1390"/>
      <c r="Z253" s="1364"/>
      <c r="AA253" s="1390"/>
      <c r="AB253" s="1364"/>
      <c r="AC253" s="1390"/>
      <c r="AD253" s="1364"/>
      <c r="AE253" s="1364"/>
      <c r="AF253" s="1364"/>
      <c r="AG253" s="1360"/>
      <c r="AH253" s="1366"/>
      <c r="AI253" s="1368"/>
      <c r="AJ253" s="1370"/>
      <c r="AK253" s="1340"/>
      <c r="AL253" s="1344"/>
      <c r="AM253" s="1314"/>
      <c r="AN253" s="1314"/>
      <c r="AO253" s="1362"/>
      <c r="AP253" s="1314"/>
      <c r="AQ253" s="1318"/>
      <c r="AR253" s="1314"/>
      <c r="AS253" s="490"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4"/>
      <c r="AU253" s="1303"/>
      <c r="AV253" s="555" t="str">
        <f>IF('別紙様式2-2（４・５月分）'!N193="","",'別紙様式2-2（４・５月分）'!N193)</f>
        <v/>
      </c>
      <c r="AW253" s="1305"/>
      <c r="AX253"/>
      <c r="AY253"/>
      <c r="AZ253"/>
      <c r="BA253"/>
      <c r="BB253"/>
      <c r="BC253"/>
      <c r="BD253"/>
      <c r="BE253"/>
      <c r="BF253"/>
      <c r="BG253"/>
      <c r="BH253"/>
      <c r="BI253"/>
      <c r="BJ253"/>
      <c r="BK253" s="452" t="str">
        <f>G250</f>
        <v/>
      </c>
    </row>
    <row r="254" spans="1:63" ht="30" customHeight="1">
      <c r="A254" s="1266">
        <v>61</v>
      </c>
      <c r="B254" s="1235" t="str">
        <f>IF(基本情報入力シート!C114="","",基本情報入力シート!C114)</f>
        <v/>
      </c>
      <c r="C254" s="1236"/>
      <c r="D254" s="1236"/>
      <c r="E254" s="1236"/>
      <c r="F254" s="1237"/>
      <c r="G254" s="1252" t="str">
        <f>IF(基本情報入力シート!M114="","",基本情報入力シート!M114)</f>
        <v/>
      </c>
      <c r="H254" s="1252" t="str">
        <f>IF(基本情報入力シート!R114="","",基本情報入力シート!R114)</f>
        <v/>
      </c>
      <c r="I254" s="1252" t="str">
        <f>IF(基本情報入力シート!W114="","",基本情報入力シート!W114)</f>
        <v/>
      </c>
      <c r="J254" s="1415" t="str">
        <f>IF(基本情報入力シート!X114="","",基本情報入力シート!X114)</f>
        <v/>
      </c>
      <c r="K254" s="1252" t="str">
        <f>IF(基本情報入力シート!Y114="","",基本情報入力シート!Y114)</f>
        <v/>
      </c>
      <c r="L254" s="1276" t="str">
        <f>IF(基本情報入力シート!AB114="","",基本情報入力シート!AB114)</f>
        <v/>
      </c>
      <c r="M254" s="550" t="str">
        <f>IF('別紙様式2-2（４・５月分）'!P194="","",'別紙様式2-2（４・５月分）'!P194)</f>
        <v/>
      </c>
      <c r="N254" s="1391" t="str">
        <f>IF(SUM('別紙様式2-2（４・５月分）'!Q194:Q196)=0,"",SUM('別紙様式2-2（４・５月分）'!Q194:Q196))</f>
        <v/>
      </c>
      <c r="O254" s="1395" t="str">
        <f>IFERROR(VLOOKUP('別紙様式2-2（４・５月分）'!AQ194,【参考】数式用!$AR$5:$AS$22,2,FALSE),"")</f>
        <v/>
      </c>
      <c r="P254" s="1396"/>
      <c r="Q254" s="1397"/>
      <c r="R254" s="1401" t="str">
        <f>IFERROR(VLOOKUP(K254,【参考】数式用!$A$5:$AB$37,MATCH(O254,【参考】数式用!$B$4:$AB$4,0)+1,0),"")</f>
        <v/>
      </c>
      <c r="S254" s="1403" t="s">
        <v>2021</v>
      </c>
      <c r="T254" s="1405"/>
      <c r="U254" s="1407" t="str">
        <f>IFERROR(VLOOKUP(K254,【参考】数式用!$A$5:$AB$37,MATCH(T254,【参考】数式用!$B$4:$AB$4,0)+1,0),"")</f>
        <v/>
      </c>
      <c r="V254" s="1409" t="s">
        <v>15</v>
      </c>
      <c r="W254" s="1347">
        <v>6</v>
      </c>
      <c r="X254" s="1349" t="s">
        <v>10</v>
      </c>
      <c r="Y254" s="1347">
        <v>6</v>
      </c>
      <c r="Z254" s="1349" t="s">
        <v>38</v>
      </c>
      <c r="AA254" s="1347">
        <v>7</v>
      </c>
      <c r="AB254" s="1349" t="s">
        <v>10</v>
      </c>
      <c r="AC254" s="1347">
        <v>3</v>
      </c>
      <c r="AD254" s="1349" t="s">
        <v>13</v>
      </c>
      <c r="AE254" s="1349" t="s">
        <v>20</v>
      </c>
      <c r="AF254" s="1349">
        <f>IF(W254&gt;=1,(AA254*12+AC254)-(W254*12+Y254)+1,"")</f>
        <v>10</v>
      </c>
      <c r="AG254" s="1351" t="s">
        <v>33</v>
      </c>
      <c r="AH254" s="1353" t="str">
        <f t="shared" ref="AH254" si="654">IFERROR(ROUNDDOWN(ROUND(L254*U254,0),0)*AF254,"")</f>
        <v/>
      </c>
      <c r="AI254" s="1355" t="str">
        <f t="shared" ref="AI254" si="655">IFERROR(ROUNDDOWN(ROUND((L254*(U254-AW254)),0),0)*AF254,"")</f>
        <v/>
      </c>
      <c r="AJ254" s="1357">
        <f>IFERROR(IF(OR(M254="",M255="",M257=""),0,ROUNDDOWN(ROUNDDOWN(ROUND(L254*VLOOKUP(K254,【参考】数式用!$A$5:$AB$37,MATCH("新加算Ⅳ",【参考】数式用!$B$4:$AB$4,0)+1,0),0),0)*AF254*0.5,0)),"")</f>
        <v>0</v>
      </c>
      <c r="AK254" s="1341"/>
      <c r="AL254" s="1345">
        <f>IFERROR(IF(OR(M257="ベア加算",M257=""),0, IF(OR(T254="新加算Ⅰ",T254="新加算Ⅱ",T254="新加算Ⅲ",T254="新加算Ⅳ"),ROUNDDOWN(ROUND(L254*VLOOKUP(K254,【参考】数式用!$A$5:$I$37,MATCH("ベア加算",【参考】数式用!$B$4:$I$4,0)+1,0),0),0)*AF254,0)),"")</f>
        <v>0</v>
      </c>
      <c r="AM254" s="1331"/>
      <c r="AN254" s="1337"/>
      <c r="AO254" s="1333"/>
      <c r="AP254" s="1333"/>
      <c r="AQ254" s="1335"/>
      <c r="AR254" s="1315"/>
      <c r="AS254" s="465" t="str">
        <f t="shared" ref="AS254" si="656">IF(AU254="","",IF(U254&lt;N254,"！加算の要件上は問題ありませんが、令和６年４・５月と比較して令和６年６月に加算率が下がる計画になっています。",""))</f>
        <v/>
      </c>
      <c r="AT254" s="554"/>
      <c r="AU254" s="1303" t="str">
        <f>IF(K254&lt;&gt;"","V列に色付け","")</f>
        <v/>
      </c>
      <c r="AV254" s="555" t="str">
        <f>IF('別紙様式2-2（４・５月分）'!N194="","",'別紙様式2-2（４・５月分）'!N194)</f>
        <v/>
      </c>
      <c r="AW254" s="1305" t="str">
        <f>IF(SUM('別紙様式2-2（４・５月分）'!O194:O196)=0,"",SUM('別紙様式2-2（４・５月分）'!O194:O196))</f>
        <v/>
      </c>
      <c r="AX254" s="1306" t="str">
        <f>IFERROR(VLOOKUP(K254,【参考】数式用!$AH$2:$AI$34,2,FALSE),"")</f>
        <v/>
      </c>
      <c r="AY254" s="1222" t="s">
        <v>1959</v>
      </c>
      <c r="AZ254" s="1222" t="s">
        <v>1960</v>
      </c>
      <c r="BA254" s="1222" t="s">
        <v>1961</v>
      </c>
      <c r="BB254" s="1222" t="s">
        <v>1962</v>
      </c>
      <c r="BC254" s="1222" t="str">
        <f>IF(AND(O254&lt;&gt;"新加算Ⅰ",O254&lt;&gt;"新加算Ⅱ",O254&lt;&gt;"新加算Ⅲ",O254&lt;&gt;"新加算Ⅳ"),O254,IF(P256&lt;&gt;"",P256,""))</f>
        <v/>
      </c>
      <c r="BD254" s="1222"/>
      <c r="BE254" s="1222" t="str">
        <f t="shared" ref="BE254" si="657">IF(AL254&lt;&gt;0,IF(AM254="○","入力済","未入力"),"")</f>
        <v/>
      </c>
      <c r="BF254" s="1222"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2" t="str">
        <f>IF(OR(T254="新加算Ⅴ（７）",T254="新加算Ⅴ（９）",T254="新加算Ⅴ（10）",T254="新加算Ⅴ（12）",T254="新加算Ⅴ（13）",T254="新加算Ⅴ（14）"),IF(OR(AO254="○",AO254="令和６年度中に満たす"),"入力済","未入力"),"")</f>
        <v/>
      </c>
      <c r="BH254" s="1323" t="str">
        <f t="shared" ref="BH254" si="658">IF(OR(T254="新加算Ⅰ",T254="新加算Ⅱ",T254="新加算Ⅲ",T254="新加算Ⅴ（１）",T254="新加算Ⅴ（３）",T254="新加算Ⅴ（８）"),IF(OR(AP254="○",AP254="令和６年度中に満たす"),"入力済","未入力"),"")</f>
        <v/>
      </c>
      <c r="BI254" s="1325" t="str">
        <f t="shared" ref="BI254" si="659">IF(OR(T254="新加算Ⅰ",T254="新加算Ⅱ",T254="新加算Ⅴ（１）",T254="新加算Ⅴ（２）",T254="新加算Ⅴ（３）",T254="新加算Ⅴ（４）",T254="新加算Ⅴ（５）",T254="新加算Ⅴ（６）",T254="新加算Ⅴ（７）",T254="新加算Ⅴ（９）",T254="新加算Ⅴ（10）",T254="新加算Ⅴ（12）"),1,"")</f>
        <v/>
      </c>
      <c r="BJ254" s="1303" t="str">
        <f>IF(OR(T254="新加算Ⅰ",T254="新加算Ⅴ（１）",T254="新加算Ⅴ（２）",T254="新加算Ⅴ（５）",T254="新加算Ⅴ（７）",T254="新加算Ⅴ（10）"),IF(AR254="","未入力","入力済"),"")</f>
        <v/>
      </c>
      <c r="BK254" s="452" t="str">
        <f>G254</f>
        <v/>
      </c>
    </row>
    <row r="255" spans="1:63" ht="15" customHeight="1">
      <c r="A255" s="1267"/>
      <c r="B255" s="1235"/>
      <c r="C255" s="1236"/>
      <c r="D255" s="1236"/>
      <c r="E255" s="1236"/>
      <c r="F255" s="1237"/>
      <c r="G255" s="1252"/>
      <c r="H255" s="1252"/>
      <c r="I255" s="1252"/>
      <c r="J255" s="1415"/>
      <c r="K255" s="1252"/>
      <c r="L255" s="1276"/>
      <c r="M255" s="1371" t="str">
        <f>IF('別紙様式2-2（４・５月分）'!P195="","",'別紙様式2-2（４・５月分）'!P195)</f>
        <v/>
      </c>
      <c r="N255" s="1392"/>
      <c r="O255" s="1398"/>
      <c r="P255" s="1399"/>
      <c r="Q255" s="1400"/>
      <c r="R255" s="1402"/>
      <c r="S255" s="1404"/>
      <c r="T255" s="1406"/>
      <c r="U255" s="1408"/>
      <c r="V255" s="1410"/>
      <c r="W255" s="1348"/>
      <c r="X255" s="1350"/>
      <c r="Y255" s="1348"/>
      <c r="Z255" s="1350"/>
      <c r="AA255" s="1348"/>
      <c r="AB255" s="1350"/>
      <c r="AC255" s="1348"/>
      <c r="AD255" s="1350"/>
      <c r="AE255" s="1350"/>
      <c r="AF255" s="1350"/>
      <c r="AG255" s="1352"/>
      <c r="AH255" s="1354"/>
      <c r="AI255" s="1356"/>
      <c r="AJ255" s="1358"/>
      <c r="AK255" s="1342"/>
      <c r="AL255" s="1346"/>
      <c r="AM255" s="1332"/>
      <c r="AN255" s="1338"/>
      <c r="AO255" s="1334"/>
      <c r="AP255" s="1334"/>
      <c r="AQ255" s="1336"/>
      <c r="AR255" s="1316"/>
      <c r="AS255" s="1302"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4"/>
      <c r="AU255" s="1303"/>
      <c r="AV255" s="1304" t="str">
        <f>IF('別紙様式2-2（４・５月分）'!N195="","",'別紙様式2-2（４・５月分）'!N195)</f>
        <v/>
      </c>
      <c r="AW255" s="1305"/>
      <c r="AX255" s="1306"/>
      <c r="AY255" s="1222"/>
      <c r="AZ255" s="1222"/>
      <c r="BA255" s="1222"/>
      <c r="BB255" s="1222"/>
      <c r="BC255" s="1222"/>
      <c r="BD255" s="1222"/>
      <c r="BE255" s="1222"/>
      <c r="BF255" s="1222"/>
      <c r="BG255" s="1222"/>
      <c r="BH255" s="1324"/>
      <c r="BI255" s="1326"/>
      <c r="BJ255" s="1303"/>
      <c r="BK255" s="452" t="str">
        <f>G254</f>
        <v/>
      </c>
    </row>
    <row r="256" spans="1:63" ht="15" customHeight="1">
      <c r="A256" s="1295"/>
      <c r="B256" s="1235"/>
      <c r="C256" s="1236"/>
      <c r="D256" s="1236"/>
      <c r="E256" s="1236"/>
      <c r="F256" s="1237"/>
      <c r="G256" s="1252"/>
      <c r="H256" s="1252"/>
      <c r="I256" s="1252"/>
      <c r="J256" s="1415"/>
      <c r="K256" s="1252"/>
      <c r="L256" s="1276"/>
      <c r="M256" s="1372"/>
      <c r="N256" s="1393"/>
      <c r="O256" s="1373" t="s">
        <v>2025</v>
      </c>
      <c r="P256" s="1375" t="str">
        <f>IFERROR(VLOOKUP('別紙様式2-2（４・５月分）'!AQ194,【参考】数式用!$AR$5:$AT$22,3,FALSE),"")</f>
        <v/>
      </c>
      <c r="Q256" s="1377" t="s">
        <v>2036</v>
      </c>
      <c r="R256" s="1379" t="str">
        <f>IFERROR(VLOOKUP(K254,【参考】数式用!$A$5:$AB$37,MATCH(P256,【参考】数式用!$B$4:$AB$4,0)+1,0),"")</f>
        <v/>
      </c>
      <c r="S256" s="1381" t="s">
        <v>161</v>
      </c>
      <c r="T256" s="1383"/>
      <c r="U256" s="1385" t="str">
        <f>IFERROR(VLOOKUP(K254,【参考】数式用!$A$5:$AB$37,MATCH(T256,【参考】数式用!$B$4:$AB$4,0)+1,0),"")</f>
        <v/>
      </c>
      <c r="V256" s="1387" t="s">
        <v>15</v>
      </c>
      <c r="W256" s="1389">
        <v>7</v>
      </c>
      <c r="X256" s="1363" t="s">
        <v>10</v>
      </c>
      <c r="Y256" s="1389">
        <v>4</v>
      </c>
      <c r="Z256" s="1363" t="s">
        <v>38</v>
      </c>
      <c r="AA256" s="1389">
        <v>8</v>
      </c>
      <c r="AB256" s="1363" t="s">
        <v>10</v>
      </c>
      <c r="AC256" s="1389">
        <v>3</v>
      </c>
      <c r="AD256" s="1363" t="s">
        <v>13</v>
      </c>
      <c r="AE256" s="1363" t="s">
        <v>20</v>
      </c>
      <c r="AF256" s="1363">
        <f>IF(W256&gt;=1,(AA256*12+AC256)-(W256*12+Y256)+1,"")</f>
        <v>12</v>
      </c>
      <c r="AG256" s="1359" t="s">
        <v>33</v>
      </c>
      <c r="AH256" s="1365" t="str">
        <f t="shared" ref="AH256" si="661">IFERROR(ROUNDDOWN(ROUND(L254*U256,0),0)*AF256,"")</f>
        <v/>
      </c>
      <c r="AI256" s="1367" t="str">
        <f t="shared" ref="AI256" si="662">IFERROR(ROUNDDOWN(ROUND((L254*(U256-AW254)),0),0)*AF256,"")</f>
        <v/>
      </c>
      <c r="AJ256" s="1369">
        <f>IFERROR(IF(OR(M254="",M255="",M257=""),0,ROUNDDOWN(ROUNDDOWN(ROUND(L254*VLOOKUP(K254,【参考】数式用!$A$5:$AB$37,MATCH("新加算Ⅳ",【参考】数式用!$B$4:$AB$4,0)+1,0),0),0)*AF256*0.5,0)),"")</f>
        <v>0</v>
      </c>
      <c r="AK256" s="1339" t="str">
        <f t="shared" ref="AK256" si="663">IF(T256&lt;&gt;"","新規に適用","")</f>
        <v/>
      </c>
      <c r="AL256" s="1343">
        <f>IFERROR(IF(OR(M257="ベア加算",M257=""),0, IF(OR(T254="新加算Ⅰ",T254="新加算Ⅱ",T254="新加算Ⅲ",T254="新加算Ⅳ"),0,ROUNDDOWN(ROUND(L254*VLOOKUP(K254,【参考】数式用!$A$5:$I$37,MATCH("ベア加算",【参考】数式用!$B$4:$I$4,0)+1,0),0),0)*AF256)),"")</f>
        <v>0</v>
      </c>
      <c r="AM256" s="1313" t="str">
        <f>IF(AND(T256&lt;&gt;"",AM254=""),"新規に適用",IF(AND(T256&lt;&gt;"",AM254&lt;&gt;""),"継続で適用",""))</f>
        <v/>
      </c>
      <c r="AN256" s="1313" t="str">
        <f>IF(AND(T256&lt;&gt;"",AN254=""),"新規に適用",IF(AND(T256&lt;&gt;"",AN254&lt;&gt;""),"継続で適用",""))</f>
        <v/>
      </c>
      <c r="AO256" s="1361"/>
      <c r="AP256" s="1313" t="str">
        <f>IF(AND(T256&lt;&gt;"",AP254=""),"新規に適用",IF(AND(T256&lt;&gt;"",AP254&lt;&gt;""),"継続で適用",""))</f>
        <v/>
      </c>
      <c r="AQ256" s="1317" t="str">
        <f t="shared" si="597"/>
        <v/>
      </c>
      <c r="AR256" s="1313" t="str">
        <f>IF(AND(T256&lt;&gt;"",AR254=""),"新規に適用",IF(AND(T256&lt;&gt;"",AR254&lt;&gt;""),"継続で適用",""))</f>
        <v/>
      </c>
      <c r="AS256" s="1302"/>
      <c r="AT256" s="554"/>
      <c r="AU256" s="1303" t="str">
        <f>IF(K254&lt;&gt;"","V列に色付け","")</f>
        <v/>
      </c>
      <c r="AV256" s="1304"/>
      <c r="AW256" s="1305"/>
      <c r="AX256"/>
      <c r="AY256"/>
      <c r="AZ256"/>
      <c r="BA256"/>
      <c r="BB256"/>
      <c r="BC256"/>
      <c r="BD256"/>
      <c r="BE256"/>
      <c r="BF256"/>
      <c r="BG256"/>
      <c r="BH256"/>
      <c r="BI256"/>
      <c r="BJ256"/>
      <c r="BK256" s="452" t="str">
        <f>G254</f>
        <v/>
      </c>
    </row>
    <row r="257" spans="1:63" ht="30" customHeight="1" thickBot="1">
      <c r="A257" s="1268"/>
      <c r="B257" s="1411"/>
      <c r="C257" s="1412"/>
      <c r="D257" s="1412"/>
      <c r="E257" s="1412"/>
      <c r="F257" s="1413"/>
      <c r="G257" s="1253"/>
      <c r="H257" s="1253"/>
      <c r="I257" s="1253"/>
      <c r="J257" s="1416"/>
      <c r="K257" s="1253"/>
      <c r="L257" s="1277"/>
      <c r="M257" s="553" t="str">
        <f>IF('別紙様式2-2（４・５月分）'!P196="","",'別紙様式2-2（４・５月分）'!P196)</f>
        <v/>
      </c>
      <c r="N257" s="1394"/>
      <c r="O257" s="1374"/>
      <c r="P257" s="1376"/>
      <c r="Q257" s="1378"/>
      <c r="R257" s="1380"/>
      <c r="S257" s="1382"/>
      <c r="T257" s="1384"/>
      <c r="U257" s="1386"/>
      <c r="V257" s="1388"/>
      <c r="W257" s="1390"/>
      <c r="X257" s="1364"/>
      <c r="Y257" s="1390"/>
      <c r="Z257" s="1364"/>
      <c r="AA257" s="1390"/>
      <c r="AB257" s="1364"/>
      <c r="AC257" s="1390"/>
      <c r="AD257" s="1364"/>
      <c r="AE257" s="1364"/>
      <c r="AF257" s="1364"/>
      <c r="AG257" s="1360"/>
      <c r="AH257" s="1366"/>
      <c r="AI257" s="1368"/>
      <c r="AJ257" s="1370"/>
      <c r="AK257" s="1340"/>
      <c r="AL257" s="1344"/>
      <c r="AM257" s="1314"/>
      <c r="AN257" s="1314"/>
      <c r="AO257" s="1362"/>
      <c r="AP257" s="1314"/>
      <c r="AQ257" s="1318"/>
      <c r="AR257" s="1314"/>
      <c r="AS257" s="490"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4"/>
      <c r="AU257" s="1303"/>
      <c r="AV257" s="555" t="str">
        <f>IF('別紙様式2-2（４・５月分）'!N196="","",'別紙様式2-2（４・５月分）'!N196)</f>
        <v/>
      </c>
      <c r="AW257" s="1305"/>
      <c r="AX257"/>
      <c r="AY257"/>
      <c r="AZ257"/>
      <c r="BA257"/>
      <c r="BB257"/>
      <c r="BC257"/>
      <c r="BD257"/>
      <c r="BE257"/>
      <c r="BF257"/>
      <c r="BG257"/>
      <c r="BH257"/>
      <c r="BI257"/>
      <c r="BJ257"/>
      <c r="BK257" s="452" t="str">
        <f>G254</f>
        <v/>
      </c>
    </row>
    <row r="258" spans="1:63" ht="30" customHeight="1">
      <c r="A258" s="1293">
        <v>62</v>
      </c>
      <c r="B258" s="1232" t="str">
        <f>IF(基本情報入力シート!C115="","",基本情報入力シート!C115)</f>
        <v/>
      </c>
      <c r="C258" s="1233"/>
      <c r="D258" s="1233"/>
      <c r="E258" s="1233"/>
      <c r="F258" s="1234"/>
      <c r="G258" s="1251" t="str">
        <f>IF(基本情報入力シート!M115="","",基本情報入力シート!M115)</f>
        <v/>
      </c>
      <c r="H258" s="1251" t="str">
        <f>IF(基本情報入力シート!R115="","",基本情報入力シート!R115)</f>
        <v/>
      </c>
      <c r="I258" s="1251" t="str">
        <f>IF(基本情報入力シート!W115="","",基本情報入力シート!W115)</f>
        <v/>
      </c>
      <c r="J258" s="1414" t="str">
        <f>IF(基本情報入力シート!X115="","",基本情報入力シート!X115)</f>
        <v/>
      </c>
      <c r="K258" s="1251" t="str">
        <f>IF(基本情報入力シート!Y115="","",基本情報入力シート!Y115)</f>
        <v/>
      </c>
      <c r="L258" s="1275" t="str">
        <f>IF(基本情報入力シート!AB115="","",基本情報入力シート!AB115)</f>
        <v/>
      </c>
      <c r="M258" s="550" t="str">
        <f>IF('別紙様式2-2（４・５月分）'!P197="","",'別紙様式2-2（４・５月分）'!P197)</f>
        <v/>
      </c>
      <c r="N258" s="1391" t="str">
        <f>IF(SUM('別紙様式2-2（４・５月分）'!Q197:Q199)=0,"",SUM('別紙様式2-2（４・５月分）'!Q197:Q199))</f>
        <v/>
      </c>
      <c r="O258" s="1395" t="str">
        <f>IFERROR(VLOOKUP('別紙様式2-2（４・５月分）'!AQ197,【参考】数式用!$AR$5:$AS$22,2,FALSE),"")</f>
        <v/>
      </c>
      <c r="P258" s="1396"/>
      <c r="Q258" s="1397"/>
      <c r="R258" s="1401" t="str">
        <f>IFERROR(VLOOKUP(K258,【参考】数式用!$A$5:$AB$37,MATCH(O258,【参考】数式用!$B$4:$AB$4,0)+1,0),"")</f>
        <v/>
      </c>
      <c r="S258" s="1403" t="s">
        <v>2021</v>
      </c>
      <c r="T258" s="1405"/>
      <c r="U258" s="1407" t="str">
        <f>IFERROR(VLOOKUP(K258,【参考】数式用!$A$5:$AB$37,MATCH(T258,【参考】数式用!$B$4:$AB$4,0)+1,0),"")</f>
        <v/>
      </c>
      <c r="V258" s="1409" t="s">
        <v>15</v>
      </c>
      <c r="W258" s="1347">
        <v>6</v>
      </c>
      <c r="X258" s="1349" t="s">
        <v>10</v>
      </c>
      <c r="Y258" s="1347">
        <v>6</v>
      </c>
      <c r="Z258" s="1349" t="s">
        <v>38</v>
      </c>
      <c r="AA258" s="1347">
        <v>7</v>
      </c>
      <c r="AB258" s="1349" t="s">
        <v>10</v>
      </c>
      <c r="AC258" s="1347">
        <v>3</v>
      </c>
      <c r="AD258" s="1349" t="s">
        <v>13</v>
      </c>
      <c r="AE258" s="1349" t="s">
        <v>20</v>
      </c>
      <c r="AF258" s="1349">
        <f>IF(W258&gt;=1,(AA258*12+AC258)-(W258*12+Y258)+1,"")</f>
        <v>10</v>
      </c>
      <c r="AG258" s="1351" t="s">
        <v>33</v>
      </c>
      <c r="AH258" s="1353" t="str">
        <f t="shared" ref="AH258" si="665">IFERROR(ROUNDDOWN(ROUND(L258*U258,0),0)*AF258,"")</f>
        <v/>
      </c>
      <c r="AI258" s="1355" t="str">
        <f t="shared" ref="AI258" si="666">IFERROR(ROUNDDOWN(ROUND((L258*(U258-AW258)),0),0)*AF258,"")</f>
        <v/>
      </c>
      <c r="AJ258" s="1357">
        <f>IFERROR(IF(OR(M258="",M259="",M261=""),0,ROUNDDOWN(ROUNDDOWN(ROUND(L258*VLOOKUP(K258,【参考】数式用!$A$5:$AB$37,MATCH("新加算Ⅳ",【参考】数式用!$B$4:$AB$4,0)+1,0),0),0)*AF258*0.5,0)),"")</f>
        <v>0</v>
      </c>
      <c r="AK258" s="1341"/>
      <c r="AL258" s="1345">
        <f>IFERROR(IF(OR(M261="ベア加算",M261=""),0, IF(OR(T258="新加算Ⅰ",T258="新加算Ⅱ",T258="新加算Ⅲ",T258="新加算Ⅳ"),ROUNDDOWN(ROUND(L258*VLOOKUP(K258,【参考】数式用!$A$5:$I$37,MATCH("ベア加算",【参考】数式用!$B$4:$I$4,0)+1,0),0),0)*AF258,0)),"")</f>
        <v>0</v>
      </c>
      <c r="AM258" s="1331"/>
      <c r="AN258" s="1337"/>
      <c r="AO258" s="1333"/>
      <c r="AP258" s="1333"/>
      <c r="AQ258" s="1335"/>
      <c r="AR258" s="1315"/>
      <c r="AS258" s="465" t="str">
        <f t="shared" ref="AS258" si="667">IF(AU258="","",IF(U258&lt;N258,"！加算の要件上は問題ありませんが、令和６年４・５月と比較して令和６年６月に加算率が下がる計画になっています。",""))</f>
        <v/>
      </c>
      <c r="AT258" s="554"/>
      <c r="AU258" s="1303" t="str">
        <f>IF(K258&lt;&gt;"","V列に色付け","")</f>
        <v/>
      </c>
      <c r="AV258" s="555" t="str">
        <f>IF('別紙様式2-2（４・５月分）'!N197="","",'別紙様式2-2（４・５月分）'!N197)</f>
        <v/>
      </c>
      <c r="AW258" s="1305" t="str">
        <f>IF(SUM('別紙様式2-2（４・５月分）'!O197:O199)=0,"",SUM('別紙様式2-2（４・５月分）'!O197:O199))</f>
        <v/>
      </c>
      <c r="AX258" s="1306" t="str">
        <f>IFERROR(VLOOKUP(K258,【参考】数式用!$AH$2:$AI$34,2,FALSE),"")</f>
        <v/>
      </c>
      <c r="AY258" s="1222" t="s">
        <v>1959</v>
      </c>
      <c r="AZ258" s="1222" t="s">
        <v>1960</v>
      </c>
      <c r="BA258" s="1222" t="s">
        <v>1961</v>
      </c>
      <c r="BB258" s="1222" t="s">
        <v>1962</v>
      </c>
      <c r="BC258" s="1222" t="str">
        <f>IF(AND(O258&lt;&gt;"新加算Ⅰ",O258&lt;&gt;"新加算Ⅱ",O258&lt;&gt;"新加算Ⅲ",O258&lt;&gt;"新加算Ⅳ"),O258,IF(P260&lt;&gt;"",P260,""))</f>
        <v/>
      </c>
      <c r="BD258" s="1222"/>
      <c r="BE258" s="1222" t="str">
        <f t="shared" ref="BE258" si="668">IF(AL258&lt;&gt;0,IF(AM258="○","入力済","未入力"),"")</f>
        <v/>
      </c>
      <c r="BF258" s="1222"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2" t="str">
        <f>IF(OR(T258="新加算Ⅴ（７）",T258="新加算Ⅴ（９）",T258="新加算Ⅴ（10）",T258="新加算Ⅴ（12）",T258="新加算Ⅴ（13）",T258="新加算Ⅴ（14）"),IF(OR(AO258="○",AO258="令和６年度中に満たす"),"入力済","未入力"),"")</f>
        <v/>
      </c>
      <c r="BH258" s="1323" t="str">
        <f t="shared" ref="BH258" si="669">IF(OR(T258="新加算Ⅰ",T258="新加算Ⅱ",T258="新加算Ⅲ",T258="新加算Ⅴ（１）",T258="新加算Ⅴ（３）",T258="新加算Ⅴ（８）"),IF(OR(AP258="○",AP258="令和６年度中に満たす"),"入力済","未入力"),"")</f>
        <v/>
      </c>
      <c r="BI258" s="1325" t="str">
        <f t="shared" ref="BI258" si="670">IF(OR(T258="新加算Ⅰ",T258="新加算Ⅱ",T258="新加算Ⅴ（１）",T258="新加算Ⅴ（２）",T258="新加算Ⅴ（３）",T258="新加算Ⅴ（４）",T258="新加算Ⅴ（５）",T258="新加算Ⅴ（６）",T258="新加算Ⅴ（７）",T258="新加算Ⅴ（９）",T258="新加算Ⅴ（10）",T258="新加算Ⅴ（12）"),1,"")</f>
        <v/>
      </c>
      <c r="BJ258" s="1303" t="str">
        <f>IF(OR(T258="新加算Ⅰ",T258="新加算Ⅴ（１）",T258="新加算Ⅴ（２）",T258="新加算Ⅴ（５）",T258="新加算Ⅴ（７）",T258="新加算Ⅴ（10）"),IF(AR258="","未入力","入力済"),"")</f>
        <v/>
      </c>
      <c r="BK258" s="452" t="str">
        <f>G258</f>
        <v/>
      </c>
    </row>
    <row r="259" spans="1:63" ht="15" customHeight="1">
      <c r="A259" s="1267"/>
      <c r="B259" s="1235"/>
      <c r="C259" s="1236"/>
      <c r="D259" s="1236"/>
      <c r="E259" s="1236"/>
      <c r="F259" s="1237"/>
      <c r="G259" s="1252"/>
      <c r="H259" s="1252"/>
      <c r="I259" s="1252"/>
      <c r="J259" s="1415"/>
      <c r="K259" s="1252"/>
      <c r="L259" s="1276"/>
      <c r="M259" s="1371" t="str">
        <f>IF('別紙様式2-2（４・５月分）'!P198="","",'別紙様式2-2（４・５月分）'!P198)</f>
        <v/>
      </c>
      <c r="N259" s="1392"/>
      <c r="O259" s="1398"/>
      <c r="P259" s="1399"/>
      <c r="Q259" s="1400"/>
      <c r="R259" s="1402"/>
      <c r="S259" s="1404"/>
      <c r="T259" s="1406"/>
      <c r="U259" s="1408"/>
      <c r="V259" s="1410"/>
      <c r="W259" s="1348"/>
      <c r="X259" s="1350"/>
      <c r="Y259" s="1348"/>
      <c r="Z259" s="1350"/>
      <c r="AA259" s="1348"/>
      <c r="AB259" s="1350"/>
      <c r="AC259" s="1348"/>
      <c r="AD259" s="1350"/>
      <c r="AE259" s="1350"/>
      <c r="AF259" s="1350"/>
      <c r="AG259" s="1352"/>
      <c r="AH259" s="1354"/>
      <c r="AI259" s="1356"/>
      <c r="AJ259" s="1358"/>
      <c r="AK259" s="1342"/>
      <c r="AL259" s="1346"/>
      <c r="AM259" s="1332"/>
      <c r="AN259" s="1338"/>
      <c r="AO259" s="1334"/>
      <c r="AP259" s="1334"/>
      <c r="AQ259" s="1336"/>
      <c r="AR259" s="1316"/>
      <c r="AS259" s="1302"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4"/>
      <c r="AU259" s="1303"/>
      <c r="AV259" s="1304" t="str">
        <f>IF('別紙様式2-2（４・５月分）'!N198="","",'別紙様式2-2（４・５月分）'!N198)</f>
        <v/>
      </c>
      <c r="AW259" s="1305"/>
      <c r="AX259" s="1306"/>
      <c r="AY259" s="1222"/>
      <c r="AZ259" s="1222"/>
      <c r="BA259" s="1222"/>
      <c r="BB259" s="1222"/>
      <c r="BC259" s="1222"/>
      <c r="BD259" s="1222"/>
      <c r="BE259" s="1222"/>
      <c r="BF259" s="1222"/>
      <c r="BG259" s="1222"/>
      <c r="BH259" s="1324"/>
      <c r="BI259" s="1326"/>
      <c r="BJ259" s="1303"/>
      <c r="BK259" s="452" t="str">
        <f>G258</f>
        <v/>
      </c>
    </row>
    <row r="260" spans="1:63" ht="15" customHeight="1">
      <c r="A260" s="1295"/>
      <c r="B260" s="1235"/>
      <c r="C260" s="1236"/>
      <c r="D260" s="1236"/>
      <c r="E260" s="1236"/>
      <c r="F260" s="1237"/>
      <c r="G260" s="1252"/>
      <c r="H260" s="1252"/>
      <c r="I260" s="1252"/>
      <c r="J260" s="1415"/>
      <c r="K260" s="1252"/>
      <c r="L260" s="1276"/>
      <c r="M260" s="1372"/>
      <c r="N260" s="1393"/>
      <c r="O260" s="1373" t="s">
        <v>2025</v>
      </c>
      <c r="P260" s="1375" t="str">
        <f>IFERROR(VLOOKUP('別紙様式2-2（４・５月分）'!AQ197,【参考】数式用!$AR$5:$AT$22,3,FALSE),"")</f>
        <v/>
      </c>
      <c r="Q260" s="1377" t="s">
        <v>2036</v>
      </c>
      <c r="R260" s="1379" t="str">
        <f>IFERROR(VLOOKUP(K258,【参考】数式用!$A$5:$AB$37,MATCH(P260,【参考】数式用!$B$4:$AB$4,0)+1,0),"")</f>
        <v/>
      </c>
      <c r="S260" s="1381" t="s">
        <v>161</v>
      </c>
      <c r="T260" s="1383"/>
      <c r="U260" s="1385" t="str">
        <f>IFERROR(VLOOKUP(K258,【参考】数式用!$A$5:$AB$37,MATCH(T260,【参考】数式用!$B$4:$AB$4,0)+1,0),"")</f>
        <v/>
      </c>
      <c r="V260" s="1387" t="s">
        <v>15</v>
      </c>
      <c r="W260" s="1389">
        <v>7</v>
      </c>
      <c r="X260" s="1363" t="s">
        <v>10</v>
      </c>
      <c r="Y260" s="1389">
        <v>4</v>
      </c>
      <c r="Z260" s="1363" t="s">
        <v>38</v>
      </c>
      <c r="AA260" s="1389">
        <v>8</v>
      </c>
      <c r="AB260" s="1363" t="s">
        <v>10</v>
      </c>
      <c r="AC260" s="1389">
        <v>3</v>
      </c>
      <c r="AD260" s="1363" t="s">
        <v>13</v>
      </c>
      <c r="AE260" s="1363" t="s">
        <v>20</v>
      </c>
      <c r="AF260" s="1363">
        <f>IF(W260&gt;=1,(AA260*12+AC260)-(W260*12+Y260)+1,"")</f>
        <v>12</v>
      </c>
      <c r="AG260" s="1359" t="s">
        <v>33</v>
      </c>
      <c r="AH260" s="1365" t="str">
        <f t="shared" ref="AH260" si="672">IFERROR(ROUNDDOWN(ROUND(L258*U260,0),0)*AF260,"")</f>
        <v/>
      </c>
      <c r="AI260" s="1367" t="str">
        <f t="shared" ref="AI260" si="673">IFERROR(ROUNDDOWN(ROUND((L258*(U260-AW258)),0),0)*AF260,"")</f>
        <v/>
      </c>
      <c r="AJ260" s="1369">
        <f>IFERROR(IF(OR(M258="",M259="",M261=""),0,ROUNDDOWN(ROUNDDOWN(ROUND(L258*VLOOKUP(K258,【参考】数式用!$A$5:$AB$37,MATCH("新加算Ⅳ",【参考】数式用!$B$4:$AB$4,0)+1,0),0),0)*AF260*0.5,0)),"")</f>
        <v>0</v>
      </c>
      <c r="AK260" s="1339" t="str">
        <f t="shared" ref="AK260" si="674">IF(T260&lt;&gt;"","新規に適用","")</f>
        <v/>
      </c>
      <c r="AL260" s="1343">
        <f>IFERROR(IF(OR(M261="ベア加算",M261=""),0, IF(OR(T258="新加算Ⅰ",T258="新加算Ⅱ",T258="新加算Ⅲ",T258="新加算Ⅳ"),0,ROUNDDOWN(ROUND(L258*VLOOKUP(K258,【参考】数式用!$A$5:$I$37,MATCH("ベア加算",【参考】数式用!$B$4:$I$4,0)+1,0),0),0)*AF260)),"")</f>
        <v>0</v>
      </c>
      <c r="AM260" s="1313" t="str">
        <f>IF(AND(T260&lt;&gt;"",AM258=""),"新規に適用",IF(AND(T260&lt;&gt;"",AM258&lt;&gt;""),"継続で適用",""))</f>
        <v/>
      </c>
      <c r="AN260" s="1313" t="str">
        <f>IF(AND(T260&lt;&gt;"",AN258=""),"新規に適用",IF(AND(T260&lt;&gt;"",AN258&lt;&gt;""),"継続で適用",""))</f>
        <v/>
      </c>
      <c r="AO260" s="1361"/>
      <c r="AP260" s="1313" t="str">
        <f>IF(AND(T260&lt;&gt;"",AP258=""),"新規に適用",IF(AND(T260&lt;&gt;"",AP258&lt;&gt;""),"継続で適用",""))</f>
        <v/>
      </c>
      <c r="AQ260" s="1317" t="str">
        <f t="shared" si="597"/>
        <v/>
      </c>
      <c r="AR260" s="1313" t="str">
        <f>IF(AND(T260&lt;&gt;"",AR258=""),"新規に適用",IF(AND(T260&lt;&gt;"",AR258&lt;&gt;""),"継続で適用",""))</f>
        <v/>
      </c>
      <c r="AS260" s="1302"/>
      <c r="AT260" s="554"/>
      <c r="AU260" s="1303" t="str">
        <f>IF(K258&lt;&gt;"","V列に色付け","")</f>
        <v/>
      </c>
      <c r="AV260" s="1304"/>
      <c r="AW260" s="1305"/>
      <c r="AX260"/>
      <c r="AY260"/>
      <c r="AZ260"/>
      <c r="BA260"/>
      <c r="BB260"/>
      <c r="BC260"/>
      <c r="BD260"/>
      <c r="BE260"/>
      <c r="BF260"/>
      <c r="BG260"/>
      <c r="BH260"/>
      <c r="BI260"/>
      <c r="BJ260"/>
      <c r="BK260" s="452" t="str">
        <f>G258</f>
        <v/>
      </c>
    </row>
    <row r="261" spans="1:63" ht="30" customHeight="1" thickBot="1">
      <c r="A261" s="1268"/>
      <c r="B261" s="1411"/>
      <c r="C261" s="1412"/>
      <c r="D261" s="1412"/>
      <c r="E261" s="1412"/>
      <c r="F261" s="1413"/>
      <c r="G261" s="1253"/>
      <c r="H261" s="1253"/>
      <c r="I261" s="1253"/>
      <c r="J261" s="1416"/>
      <c r="K261" s="1253"/>
      <c r="L261" s="1277"/>
      <c r="M261" s="553" t="str">
        <f>IF('別紙様式2-2（４・５月分）'!P199="","",'別紙様式2-2（４・５月分）'!P199)</f>
        <v/>
      </c>
      <c r="N261" s="1394"/>
      <c r="O261" s="1374"/>
      <c r="P261" s="1376"/>
      <c r="Q261" s="1378"/>
      <c r="R261" s="1380"/>
      <c r="S261" s="1382"/>
      <c r="T261" s="1384"/>
      <c r="U261" s="1386"/>
      <c r="V261" s="1388"/>
      <c r="W261" s="1390"/>
      <c r="X261" s="1364"/>
      <c r="Y261" s="1390"/>
      <c r="Z261" s="1364"/>
      <c r="AA261" s="1390"/>
      <c r="AB261" s="1364"/>
      <c r="AC261" s="1390"/>
      <c r="AD261" s="1364"/>
      <c r="AE261" s="1364"/>
      <c r="AF261" s="1364"/>
      <c r="AG261" s="1360"/>
      <c r="AH261" s="1366"/>
      <c r="AI261" s="1368"/>
      <c r="AJ261" s="1370"/>
      <c r="AK261" s="1340"/>
      <c r="AL261" s="1344"/>
      <c r="AM261" s="1314"/>
      <c r="AN261" s="1314"/>
      <c r="AO261" s="1362"/>
      <c r="AP261" s="1314"/>
      <c r="AQ261" s="1318"/>
      <c r="AR261" s="1314"/>
      <c r="AS261" s="490"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4"/>
      <c r="AU261" s="1303"/>
      <c r="AV261" s="555" t="str">
        <f>IF('別紙様式2-2（４・５月分）'!N199="","",'別紙様式2-2（４・５月分）'!N199)</f>
        <v/>
      </c>
      <c r="AW261" s="1305"/>
      <c r="AX261"/>
      <c r="AY261"/>
      <c r="AZ261"/>
      <c r="BA261"/>
      <c r="BB261"/>
      <c r="BC261"/>
      <c r="BD261"/>
      <c r="BE261"/>
      <c r="BF261"/>
      <c r="BG261"/>
      <c r="BH261"/>
      <c r="BI261"/>
      <c r="BJ261"/>
      <c r="BK261" s="452" t="str">
        <f>G258</f>
        <v/>
      </c>
    </row>
    <row r="262" spans="1:63" ht="30" customHeight="1">
      <c r="A262" s="1266">
        <v>63</v>
      </c>
      <c r="B262" s="1235" t="str">
        <f>IF(基本情報入力シート!C116="","",基本情報入力シート!C116)</f>
        <v/>
      </c>
      <c r="C262" s="1236"/>
      <c r="D262" s="1236"/>
      <c r="E262" s="1236"/>
      <c r="F262" s="1237"/>
      <c r="G262" s="1252" t="str">
        <f>IF(基本情報入力シート!M116="","",基本情報入力シート!M116)</f>
        <v/>
      </c>
      <c r="H262" s="1252" t="str">
        <f>IF(基本情報入力シート!R116="","",基本情報入力シート!R116)</f>
        <v/>
      </c>
      <c r="I262" s="1252" t="str">
        <f>IF(基本情報入力シート!W116="","",基本情報入力シート!W116)</f>
        <v/>
      </c>
      <c r="J262" s="1415" t="str">
        <f>IF(基本情報入力シート!X116="","",基本情報入力シート!X116)</f>
        <v/>
      </c>
      <c r="K262" s="1252" t="str">
        <f>IF(基本情報入力シート!Y116="","",基本情報入力シート!Y116)</f>
        <v/>
      </c>
      <c r="L262" s="1276" t="str">
        <f>IF(基本情報入力シート!AB116="","",基本情報入力シート!AB116)</f>
        <v/>
      </c>
      <c r="M262" s="550" t="str">
        <f>IF('別紙様式2-2（４・５月分）'!P200="","",'別紙様式2-2（４・５月分）'!P200)</f>
        <v/>
      </c>
      <c r="N262" s="1391" t="str">
        <f>IF(SUM('別紙様式2-2（４・５月分）'!Q200:Q202)=0,"",SUM('別紙様式2-2（４・５月分）'!Q200:Q202))</f>
        <v/>
      </c>
      <c r="O262" s="1395" t="str">
        <f>IFERROR(VLOOKUP('別紙様式2-2（４・５月分）'!AQ200,【参考】数式用!$AR$5:$AS$22,2,FALSE),"")</f>
        <v/>
      </c>
      <c r="P262" s="1396"/>
      <c r="Q262" s="1397"/>
      <c r="R262" s="1401" t="str">
        <f>IFERROR(VLOOKUP(K262,【参考】数式用!$A$5:$AB$37,MATCH(O262,【参考】数式用!$B$4:$AB$4,0)+1,0),"")</f>
        <v/>
      </c>
      <c r="S262" s="1403" t="s">
        <v>2021</v>
      </c>
      <c r="T262" s="1405"/>
      <c r="U262" s="1407" t="str">
        <f>IFERROR(VLOOKUP(K262,【参考】数式用!$A$5:$AB$37,MATCH(T262,【参考】数式用!$B$4:$AB$4,0)+1,0),"")</f>
        <v/>
      </c>
      <c r="V262" s="1409" t="s">
        <v>15</v>
      </c>
      <c r="W262" s="1347">
        <v>6</v>
      </c>
      <c r="X262" s="1349" t="s">
        <v>10</v>
      </c>
      <c r="Y262" s="1347">
        <v>6</v>
      </c>
      <c r="Z262" s="1349" t="s">
        <v>38</v>
      </c>
      <c r="AA262" s="1347">
        <v>7</v>
      </c>
      <c r="AB262" s="1349" t="s">
        <v>10</v>
      </c>
      <c r="AC262" s="1347">
        <v>3</v>
      </c>
      <c r="AD262" s="1349" t="s">
        <v>13</v>
      </c>
      <c r="AE262" s="1349" t="s">
        <v>20</v>
      </c>
      <c r="AF262" s="1349">
        <f>IF(W262&gt;=1,(AA262*12+AC262)-(W262*12+Y262)+1,"")</f>
        <v>10</v>
      </c>
      <c r="AG262" s="1351" t="s">
        <v>33</v>
      </c>
      <c r="AH262" s="1353" t="str">
        <f t="shared" ref="AH262" si="676">IFERROR(ROUNDDOWN(ROUND(L262*U262,0),0)*AF262,"")</f>
        <v/>
      </c>
      <c r="AI262" s="1355" t="str">
        <f t="shared" ref="AI262" si="677">IFERROR(ROUNDDOWN(ROUND((L262*(U262-AW262)),0),0)*AF262,"")</f>
        <v/>
      </c>
      <c r="AJ262" s="1357">
        <f>IFERROR(IF(OR(M262="",M263="",M265=""),0,ROUNDDOWN(ROUNDDOWN(ROUND(L262*VLOOKUP(K262,【参考】数式用!$A$5:$AB$37,MATCH("新加算Ⅳ",【参考】数式用!$B$4:$AB$4,0)+1,0),0),0)*AF262*0.5,0)),"")</f>
        <v>0</v>
      </c>
      <c r="AK262" s="1341"/>
      <c r="AL262" s="1345">
        <f>IFERROR(IF(OR(M265="ベア加算",M265=""),0, IF(OR(T262="新加算Ⅰ",T262="新加算Ⅱ",T262="新加算Ⅲ",T262="新加算Ⅳ"),ROUNDDOWN(ROUND(L262*VLOOKUP(K262,【参考】数式用!$A$5:$I$37,MATCH("ベア加算",【参考】数式用!$B$4:$I$4,0)+1,0),0),0)*AF262,0)),"")</f>
        <v>0</v>
      </c>
      <c r="AM262" s="1331"/>
      <c r="AN262" s="1337"/>
      <c r="AO262" s="1333"/>
      <c r="AP262" s="1333"/>
      <c r="AQ262" s="1335"/>
      <c r="AR262" s="1315"/>
      <c r="AS262" s="465" t="str">
        <f t="shared" ref="AS262" si="678">IF(AU262="","",IF(U262&lt;N262,"！加算の要件上は問題ありませんが、令和６年４・５月と比較して令和６年６月に加算率が下がる計画になっています。",""))</f>
        <v/>
      </c>
      <c r="AT262" s="554"/>
      <c r="AU262" s="1303" t="str">
        <f>IF(K262&lt;&gt;"","V列に色付け","")</f>
        <v/>
      </c>
      <c r="AV262" s="555" t="str">
        <f>IF('別紙様式2-2（４・５月分）'!N200="","",'別紙様式2-2（４・５月分）'!N200)</f>
        <v/>
      </c>
      <c r="AW262" s="1305" t="str">
        <f>IF(SUM('別紙様式2-2（４・５月分）'!O200:O202)=0,"",SUM('別紙様式2-2（４・５月分）'!O200:O202))</f>
        <v/>
      </c>
      <c r="AX262" s="1306" t="str">
        <f>IFERROR(VLOOKUP(K262,【参考】数式用!$AH$2:$AI$34,2,FALSE),"")</f>
        <v/>
      </c>
      <c r="AY262" s="1222" t="s">
        <v>1959</v>
      </c>
      <c r="AZ262" s="1222" t="s">
        <v>1960</v>
      </c>
      <c r="BA262" s="1222" t="s">
        <v>1961</v>
      </c>
      <c r="BB262" s="1222" t="s">
        <v>1962</v>
      </c>
      <c r="BC262" s="1222" t="str">
        <f>IF(AND(O262&lt;&gt;"新加算Ⅰ",O262&lt;&gt;"新加算Ⅱ",O262&lt;&gt;"新加算Ⅲ",O262&lt;&gt;"新加算Ⅳ"),O262,IF(P264&lt;&gt;"",P264,""))</f>
        <v/>
      </c>
      <c r="BD262" s="1222"/>
      <c r="BE262" s="1222" t="str">
        <f t="shared" ref="BE262" si="679">IF(AL262&lt;&gt;0,IF(AM262="○","入力済","未入力"),"")</f>
        <v/>
      </c>
      <c r="BF262" s="1222"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2" t="str">
        <f>IF(OR(T262="新加算Ⅴ（７）",T262="新加算Ⅴ（９）",T262="新加算Ⅴ（10）",T262="新加算Ⅴ（12）",T262="新加算Ⅴ（13）",T262="新加算Ⅴ（14）"),IF(OR(AO262="○",AO262="令和６年度中に満たす"),"入力済","未入力"),"")</f>
        <v/>
      </c>
      <c r="BH262" s="1323" t="str">
        <f t="shared" ref="BH262" si="680">IF(OR(T262="新加算Ⅰ",T262="新加算Ⅱ",T262="新加算Ⅲ",T262="新加算Ⅴ（１）",T262="新加算Ⅴ（３）",T262="新加算Ⅴ（８）"),IF(OR(AP262="○",AP262="令和６年度中に満たす"),"入力済","未入力"),"")</f>
        <v/>
      </c>
      <c r="BI262" s="1325" t="str">
        <f t="shared" ref="BI262" si="681">IF(OR(T262="新加算Ⅰ",T262="新加算Ⅱ",T262="新加算Ⅴ（１）",T262="新加算Ⅴ（２）",T262="新加算Ⅴ（３）",T262="新加算Ⅴ（４）",T262="新加算Ⅴ（５）",T262="新加算Ⅴ（６）",T262="新加算Ⅴ（７）",T262="新加算Ⅴ（９）",T262="新加算Ⅴ（10）",T262="新加算Ⅴ（12）"),1,"")</f>
        <v/>
      </c>
      <c r="BJ262" s="1303" t="str">
        <f>IF(OR(T262="新加算Ⅰ",T262="新加算Ⅴ（１）",T262="新加算Ⅴ（２）",T262="新加算Ⅴ（５）",T262="新加算Ⅴ（７）",T262="新加算Ⅴ（10）"),IF(AR262="","未入力","入力済"),"")</f>
        <v/>
      </c>
      <c r="BK262" s="452" t="str">
        <f>G262</f>
        <v/>
      </c>
    </row>
    <row r="263" spans="1:63" ht="15" customHeight="1">
      <c r="A263" s="1267"/>
      <c r="B263" s="1235"/>
      <c r="C263" s="1236"/>
      <c r="D263" s="1236"/>
      <c r="E263" s="1236"/>
      <c r="F263" s="1237"/>
      <c r="G263" s="1252"/>
      <c r="H263" s="1252"/>
      <c r="I263" s="1252"/>
      <c r="J263" s="1415"/>
      <c r="K263" s="1252"/>
      <c r="L263" s="1276"/>
      <c r="M263" s="1371" t="str">
        <f>IF('別紙様式2-2（４・５月分）'!P201="","",'別紙様式2-2（４・５月分）'!P201)</f>
        <v/>
      </c>
      <c r="N263" s="1392"/>
      <c r="O263" s="1398"/>
      <c r="P263" s="1399"/>
      <c r="Q263" s="1400"/>
      <c r="R263" s="1402"/>
      <c r="S263" s="1404"/>
      <c r="T263" s="1406"/>
      <c r="U263" s="1408"/>
      <c r="V263" s="1410"/>
      <c r="W263" s="1348"/>
      <c r="X263" s="1350"/>
      <c r="Y263" s="1348"/>
      <c r="Z263" s="1350"/>
      <c r="AA263" s="1348"/>
      <c r="AB263" s="1350"/>
      <c r="AC263" s="1348"/>
      <c r="AD263" s="1350"/>
      <c r="AE263" s="1350"/>
      <c r="AF263" s="1350"/>
      <c r="AG263" s="1352"/>
      <c r="AH263" s="1354"/>
      <c r="AI263" s="1356"/>
      <c r="AJ263" s="1358"/>
      <c r="AK263" s="1342"/>
      <c r="AL263" s="1346"/>
      <c r="AM263" s="1332"/>
      <c r="AN263" s="1338"/>
      <c r="AO263" s="1334"/>
      <c r="AP263" s="1334"/>
      <c r="AQ263" s="1336"/>
      <c r="AR263" s="1316"/>
      <c r="AS263" s="1302"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4"/>
      <c r="AU263" s="1303"/>
      <c r="AV263" s="1304" t="str">
        <f>IF('別紙様式2-2（４・５月分）'!N201="","",'別紙様式2-2（４・５月分）'!N201)</f>
        <v/>
      </c>
      <c r="AW263" s="1305"/>
      <c r="AX263" s="1306"/>
      <c r="AY263" s="1222"/>
      <c r="AZ263" s="1222"/>
      <c r="BA263" s="1222"/>
      <c r="BB263" s="1222"/>
      <c r="BC263" s="1222"/>
      <c r="BD263" s="1222"/>
      <c r="BE263" s="1222"/>
      <c r="BF263" s="1222"/>
      <c r="BG263" s="1222"/>
      <c r="BH263" s="1324"/>
      <c r="BI263" s="1326"/>
      <c r="BJ263" s="1303"/>
      <c r="BK263" s="452" t="str">
        <f>G262</f>
        <v/>
      </c>
    </row>
    <row r="264" spans="1:63" ht="15" customHeight="1">
      <c r="A264" s="1295"/>
      <c r="B264" s="1235"/>
      <c r="C264" s="1236"/>
      <c r="D264" s="1236"/>
      <c r="E264" s="1236"/>
      <c r="F264" s="1237"/>
      <c r="G264" s="1252"/>
      <c r="H264" s="1252"/>
      <c r="I264" s="1252"/>
      <c r="J264" s="1415"/>
      <c r="K264" s="1252"/>
      <c r="L264" s="1276"/>
      <c r="M264" s="1372"/>
      <c r="N264" s="1393"/>
      <c r="O264" s="1373" t="s">
        <v>2025</v>
      </c>
      <c r="P264" s="1375" t="str">
        <f>IFERROR(VLOOKUP('別紙様式2-2（４・５月分）'!AQ200,【参考】数式用!$AR$5:$AT$22,3,FALSE),"")</f>
        <v/>
      </c>
      <c r="Q264" s="1377" t="s">
        <v>2036</v>
      </c>
      <c r="R264" s="1379" t="str">
        <f>IFERROR(VLOOKUP(K262,【参考】数式用!$A$5:$AB$37,MATCH(P264,【参考】数式用!$B$4:$AB$4,0)+1,0),"")</f>
        <v/>
      </c>
      <c r="S264" s="1381" t="s">
        <v>161</v>
      </c>
      <c r="T264" s="1383"/>
      <c r="U264" s="1385" t="str">
        <f>IFERROR(VLOOKUP(K262,【参考】数式用!$A$5:$AB$37,MATCH(T264,【参考】数式用!$B$4:$AB$4,0)+1,0),"")</f>
        <v/>
      </c>
      <c r="V264" s="1387" t="s">
        <v>15</v>
      </c>
      <c r="W264" s="1389">
        <v>7</v>
      </c>
      <c r="X264" s="1363" t="s">
        <v>10</v>
      </c>
      <c r="Y264" s="1389">
        <v>4</v>
      </c>
      <c r="Z264" s="1363" t="s">
        <v>38</v>
      </c>
      <c r="AA264" s="1389">
        <v>8</v>
      </c>
      <c r="AB264" s="1363" t="s">
        <v>10</v>
      </c>
      <c r="AC264" s="1389">
        <v>3</v>
      </c>
      <c r="AD264" s="1363" t="s">
        <v>13</v>
      </c>
      <c r="AE264" s="1363" t="s">
        <v>20</v>
      </c>
      <c r="AF264" s="1363">
        <f>IF(W264&gt;=1,(AA264*12+AC264)-(W264*12+Y264)+1,"")</f>
        <v>12</v>
      </c>
      <c r="AG264" s="1359" t="s">
        <v>33</v>
      </c>
      <c r="AH264" s="1365" t="str">
        <f t="shared" ref="AH264" si="683">IFERROR(ROUNDDOWN(ROUND(L262*U264,0),0)*AF264,"")</f>
        <v/>
      </c>
      <c r="AI264" s="1367" t="str">
        <f t="shared" ref="AI264" si="684">IFERROR(ROUNDDOWN(ROUND((L262*(U264-AW262)),0),0)*AF264,"")</f>
        <v/>
      </c>
      <c r="AJ264" s="1369">
        <f>IFERROR(IF(OR(M262="",M263="",M265=""),0,ROUNDDOWN(ROUNDDOWN(ROUND(L262*VLOOKUP(K262,【参考】数式用!$A$5:$AB$37,MATCH("新加算Ⅳ",【参考】数式用!$B$4:$AB$4,0)+1,0),0),0)*AF264*0.5,0)),"")</f>
        <v>0</v>
      </c>
      <c r="AK264" s="1339" t="str">
        <f t="shared" ref="AK264" si="685">IF(T264&lt;&gt;"","新規に適用","")</f>
        <v/>
      </c>
      <c r="AL264" s="1343">
        <f>IFERROR(IF(OR(M265="ベア加算",M265=""),0, IF(OR(T262="新加算Ⅰ",T262="新加算Ⅱ",T262="新加算Ⅲ",T262="新加算Ⅳ"),0,ROUNDDOWN(ROUND(L262*VLOOKUP(K262,【参考】数式用!$A$5:$I$37,MATCH("ベア加算",【参考】数式用!$B$4:$I$4,0)+1,0),0),0)*AF264)),"")</f>
        <v>0</v>
      </c>
      <c r="AM264" s="1313" t="str">
        <f>IF(AND(T264&lt;&gt;"",AM262=""),"新規に適用",IF(AND(T264&lt;&gt;"",AM262&lt;&gt;""),"継続で適用",""))</f>
        <v/>
      </c>
      <c r="AN264" s="1313" t="str">
        <f>IF(AND(T264&lt;&gt;"",AN262=""),"新規に適用",IF(AND(T264&lt;&gt;"",AN262&lt;&gt;""),"継続で適用",""))</f>
        <v/>
      </c>
      <c r="AO264" s="1361"/>
      <c r="AP264" s="1313" t="str">
        <f>IF(AND(T264&lt;&gt;"",AP262=""),"新規に適用",IF(AND(T264&lt;&gt;"",AP262&lt;&gt;""),"継続で適用",""))</f>
        <v/>
      </c>
      <c r="AQ264" s="1317" t="str">
        <f t="shared" si="597"/>
        <v/>
      </c>
      <c r="AR264" s="1313" t="str">
        <f>IF(AND(T264&lt;&gt;"",AR262=""),"新規に適用",IF(AND(T264&lt;&gt;"",AR262&lt;&gt;""),"継続で適用",""))</f>
        <v/>
      </c>
      <c r="AS264" s="1302"/>
      <c r="AT264" s="554"/>
      <c r="AU264" s="1303" t="str">
        <f>IF(K262&lt;&gt;"","V列に色付け","")</f>
        <v/>
      </c>
      <c r="AV264" s="1304"/>
      <c r="AW264" s="1305"/>
      <c r="AX264"/>
      <c r="AY264"/>
      <c r="AZ264"/>
      <c r="BA264"/>
      <c r="BB264"/>
      <c r="BC264"/>
      <c r="BD264"/>
      <c r="BE264"/>
      <c r="BF264"/>
      <c r="BG264"/>
      <c r="BH264"/>
      <c r="BI264"/>
      <c r="BJ264"/>
      <c r="BK264" s="452" t="str">
        <f>G262</f>
        <v/>
      </c>
    </row>
    <row r="265" spans="1:63" ht="30" customHeight="1" thickBot="1">
      <c r="A265" s="1268"/>
      <c r="B265" s="1411"/>
      <c r="C265" s="1412"/>
      <c r="D265" s="1412"/>
      <c r="E265" s="1412"/>
      <c r="F265" s="1413"/>
      <c r="G265" s="1253"/>
      <c r="H265" s="1253"/>
      <c r="I265" s="1253"/>
      <c r="J265" s="1416"/>
      <c r="K265" s="1253"/>
      <c r="L265" s="1277"/>
      <c r="M265" s="553" t="str">
        <f>IF('別紙様式2-2（４・５月分）'!P202="","",'別紙様式2-2（４・５月分）'!P202)</f>
        <v/>
      </c>
      <c r="N265" s="1394"/>
      <c r="O265" s="1374"/>
      <c r="P265" s="1376"/>
      <c r="Q265" s="1378"/>
      <c r="R265" s="1380"/>
      <c r="S265" s="1382"/>
      <c r="T265" s="1384"/>
      <c r="U265" s="1386"/>
      <c r="V265" s="1388"/>
      <c r="W265" s="1390"/>
      <c r="X265" s="1364"/>
      <c r="Y265" s="1390"/>
      <c r="Z265" s="1364"/>
      <c r="AA265" s="1390"/>
      <c r="AB265" s="1364"/>
      <c r="AC265" s="1390"/>
      <c r="AD265" s="1364"/>
      <c r="AE265" s="1364"/>
      <c r="AF265" s="1364"/>
      <c r="AG265" s="1360"/>
      <c r="AH265" s="1366"/>
      <c r="AI265" s="1368"/>
      <c r="AJ265" s="1370"/>
      <c r="AK265" s="1340"/>
      <c r="AL265" s="1344"/>
      <c r="AM265" s="1314"/>
      <c r="AN265" s="1314"/>
      <c r="AO265" s="1362"/>
      <c r="AP265" s="1314"/>
      <c r="AQ265" s="1318"/>
      <c r="AR265" s="1314"/>
      <c r="AS265" s="490"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4"/>
      <c r="AU265" s="1303"/>
      <c r="AV265" s="555" t="str">
        <f>IF('別紙様式2-2（４・５月分）'!N202="","",'別紙様式2-2（４・５月分）'!N202)</f>
        <v/>
      </c>
      <c r="AW265" s="1305"/>
      <c r="AX265"/>
      <c r="AY265"/>
      <c r="AZ265"/>
      <c r="BA265"/>
      <c r="BB265"/>
      <c r="BC265"/>
      <c r="BD265"/>
      <c r="BE265"/>
      <c r="BF265"/>
      <c r="BG265"/>
      <c r="BH265"/>
      <c r="BI265"/>
      <c r="BJ265"/>
      <c r="BK265" s="452" t="str">
        <f>G262</f>
        <v/>
      </c>
    </row>
    <row r="266" spans="1:63" ht="30" customHeight="1">
      <c r="A266" s="1293">
        <v>64</v>
      </c>
      <c r="B266" s="1232" t="str">
        <f>IF(基本情報入力シート!C117="","",基本情報入力シート!C117)</f>
        <v/>
      </c>
      <c r="C266" s="1233"/>
      <c r="D266" s="1233"/>
      <c r="E266" s="1233"/>
      <c r="F266" s="1234"/>
      <c r="G266" s="1251" t="str">
        <f>IF(基本情報入力シート!M117="","",基本情報入力シート!M117)</f>
        <v/>
      </c>
      <c r="H266" s="1251" t="str">
        <f>IF(基本情報入力シート!R117="","",基本情報入力シート!R117)</f>
        <v/>
      </c>
      <c r="I266" s="1251" t="str">
        <f>IF(基本情報入力シート!W117="","",基本情報入力シート!W117)</f>
        <v/>
      </c>
      <c r="J266" s="1414" t="str">
        <f>IF(基本情報入力シート!X117="","",基本情報入力シート!X117)</f>
        <v/>
      </c>
      <c r="K266" s="1251" t="str">
        <f>IF(基本情報入力シート!Y117="","",基本情報入力シート!Y117)</f>
        <v/>
      </c>
      <c r="L266" s="1275" t="str">
        <f>IF(基本情報入力シート!AB117="","",基本情報入力シート!AB117)</f>
        <v/>
      </c>
      <c r="M266" s="550" t="str">
        <f>IF('別紙様式2-2（４・５月分）'!P203="","",'別紙様式2-2（４・５月分）'!P203)</f>
        <v/>
      </c>
      <c r="N266" s="1391" t="str">
        <f>IF(SUM('別紙様式2-2（４・５月分）'!Q203:Q205)=0,"",SUM('別紙様式2-2（４・５月分）'!Q203:Q205))</f>
        <v/>
      </c>
      <c r="O266" s="1395" t="str">
        <f>IFERROR(VLOOKUP('別紙様式2-2（４・５月分）'!AQ203,【参考】数式用!$AR$5:$AS$22,2,FALSE),"")</f>
        <v/>
      </c>
      <c r="P266" s="1396"/>
      <c r="Q266" s="1397"/>
      <c r="R266" s="1401" t="str">
        <f>IFERROR(VLOOKUP(K266,【参考】数式用!$A$5:$AB$37,MATCH(O266,【参考】数式用!$B$4:$AB$4,0)+1,0),"")</f>
        <v/>
      </c>
      <c r="S266" s="1403" t="s">
        <v>2021</v>
      </c>
      <c r="T266" s="1405"/>
      <c r="U266" s="1407" t="str">
        <f>IFERROR(VLOOKUP(K266,【参考】数式用!$A$5:$AB$37,MATCH(T266,【参考】数式用!$B$4:$AB$4,0)+1,0),"")</f>
        <v/>
      </c>
      <c r="V266" s="1409" t="s">
        <v>15</v>
      </c>
      <c r="W266" s="1347">
        <v>6</v>
      </c>
      <c r="X266" s="1349" t="s">
        <v>10</v>
      </c>
      <c r="Y266" s="1347">
        <v>6</v>
      </c>
      <c r="Z266" s="1349" t="s">
        <v>38</v>
      </c>
      <c r="AA266" s="1347">
        <v>7</v>
      </c>
      <c r="AB266" s="1349" t="s">
        <v>10</v>
      </c>
      <c r="AC266" s="1347">
        <v>3</v>
      </c>
      <c r="AD266" s="1349" t="s">
        <v>13</v>
      </c>
      <c r="AE266" s="1349" t="s">
        <v>20</v>
      </c>
      <c r="AF266" s="1349">
        <f>IF(W266&gt;=1,(AA266*12+AC266)-(W266*12+Y266)+1,"")</f>
        <v>10</v>
      </c>
      <c r="AG266" s="1351" t="s">
        <v>33</v>
      </c>
      <c r="AH266" s="1353" t="str">
        <f t="shared" ref="AH266" si="687">IFERROR(ROUNDDOWN(ROUND(L266*U266,0),0)*AF266,"")</f>
        <v/>
      </c>
      <c r="AI266" s="1355" t="str">
        <f t="shared" ref="AI266" si="688">IFERROR(ROUNDDOWN(ROUND((L266*(U266-AW266)),0),0)*AF266,"")</f>
        <v/>
      </c>
      <c r="AJ266" s="1357">
        <f>IFERROR(IF(OR(M266="",M267="",M269=""),0,ROUNDDOWN(ROUNDDOWN(ROUND(L266*VLOOKUP(K266,【参考】数式用!$A$5:$AB$37,MATCH("新加算Ⅳ",【参考】数式用!$B$4:$AB$4,0)+1,0),0),0)*AF266*0.5,0)),"")</f>
        <v>0</v>
      </c>
      <c r="AK266" s="1341"/>
      <c r="AL266" s="1345">
        <f>IFERROR(IF(OR(M269="ベア加算",M269=""),0, IF(OR(T266="新加算Ⅰ",T266="新加算Ⅱ",T266="新加算Ⅲ",T266="新加算Ⅳ"),ROUNDDOWN(ROUND(L266*VLOOKUP(K266,【参考】数式用!$A$5:$I$37,MATCH("ベア加算",【参考】数式用!$B$4:$I$4,0)+1,0),0),0)*AF266,0)),"")</f>
        <v>0</v>
      </c>
      <c r="AM266" s="1331"/>
      <c r="AN266" s="1337"/>
      <c r="AO266" s="1333"/>
      <c r="AP266" s="1333"/>
      <c r="AQ266" s="1335"/>
      <c r="AR266" s="1315"/>
      <c r="AS266" s="465" t="str">
        <f t="shared" ref="AS266" si="689">IF(AU266="","",IF(U266&lt;N266,"！加算の要件上は問題ありませんが、令和６年４・５月と比較して令和６年６月に加算率が下がる計画になっています。",""))</f>
        <v/>
      </c>
      <c r="AT266" s="554"/>
      <c r="AU266" s="1303" t="str">
        <f>IF(K266&lt;&gt;"","V列に色付け","")</f>
        <v/>
      </c>
      <c r="AV266" s="555" t="str">
        <f>IF('別紙様式2-2（４・５月分）'!N203="","",'別紙様式2-2（４・５月分）'!N203)</f>
        <v/>
      </c>
      <c r="AW266" s="1305" t="str">
        <f>IF(SUM('別紙様式2-2（４・５月分）'!O203:O205)=0,"",SUM('別紙様式2-2（４・５月分）'!O203:O205))</f>
        <v/>
      </c>
      <c r="AX266" s="1306" t="str">
        <f>IFERROR(VLOOKUP(K266,【参考】数式用!$AH$2:$AI$34,2,FALSE),"")</f>
        <v/>
      </c>
      <c r="AY266" s="1222" t="s">
        <v>1959</v>
      </c>
      <c r="AZ266" s="1222" t="s">
        <v>1960</v>
      </c>
      <c r="BA266" s="1222" t="s">
        <v>1961</v>
      </c>
      <c r="BB266" s="1222" t="s">
        <v>1962</v>
      </c>
      <c r="BC266" s="1222" t="str">
        <f>IF(AND(O266&lt;&gt;"新加算Ⅰ",O266&lt;&gt;"新加算Ⅱ",O266&lt;&gt;"新加算Ⅲ",O266&lt;&gt;"新加算Ⅳ"),O266,IF(P268&lt;&gt;"",P268,""))</f>
        <v/>
      </c>
      <c r="BD266" s="1222"/>
      <c r="BE266" s="1222" t="str">
        <f t="shared" ref="BE266" si="690">IF(AL266&lt;&gt;0,IF(AM266="○","入力済","未入力"),"")</f>
        <v/>
      </c>
      <c r="BF266" s="1222"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2" t="str">
        <f>IF(OR(T266="新加算Ⅴ（７）",T266="新加算Ⅴ（９）",T266="新加算Ⅴ（10）",T266="新加算Ⅴ（12）",T266="新加算Ⅴ（13）",T266="新加算Ⅴ（14）"),IF(OR(AO266="○",AO266="令和６年度中に満たす"),"入力済","未入力"),"")</f>
        <v/>
      </c>
      <c r="BH266" s="1323" t="str">
        <f t="shared" ref="BH266" si="691">IF(OR(T266="新加算Ⅰ",T266="新加算Ⅱ",T266="新加算Ⅲ",T266="新加算Ⅴ（１）",T266="新加算Ⅴ（３）",T266="新加算Ⅴ（８）"),IF(OR(AP266="○",AP266="令和６年度中に満たす"),"入力済","未入力"),"")</f>
        <v/>
      </c>
      <c r="BI266" s="1325" t="str">
        <f t="shared" ref="BI266" si="692">IF(OR(T266="新加算Ⅰ",T266="新加算Ⅱ",T266="新加算Ⅴ（１）",T266="新加算Ⅴ（２）",T266="新加算Ⅴ（３）",T266="新加算Ⅴ（４）",T266="新加算Ⅴ（５）",T266="新加算Ⅴ（６）",T266="新加算Ⅴ（７）",T266="新加算Ⅴ（９）",T266="新加算Ⅴ（10）",T266="新加算Ⅴ（12）"),1,"")</f>
        <v/>
      </c>
      <c r="BJ266" s="1303" t="str">
        <f>IF(OR(T266="新加算Ⅰ",T266="新加算Ⅴ（１）",T266="新加算Ⅴ（２）",T266="新加算Ⅴ（５）",T266="新加算Ⅴ（７）",T266="新加算Ⅴ（10）"),IF(AR266="","未入力","入力済"),"")</f>
        <v/>
      </c>
      <c r="BK266" s="452" t="str">
        <f>G266</f>
        <v/>
      </c>
    </row>
    <row r="267" spans="1:63" ht="15" customHeight="1">
      <c r="A267" s="1267"/>
      <c r="B267" s="1235"/>
      <c r="C267" s="1236"/>
      <c r="D267" s="1236"/>
      <c r="E267" s="1236"/>
      <c r="F267" s="1237"/>
      <c r="G267" s="1252"/>
      <c r="H267" s="1252"/>
      <c r="I267" s="1252"/>
      <c r="J267" s="1415"/>
      <c r="K267" s="1252"/>
      <c r="L267" s="1276"/>
      <c r="M267" s="1371" t="str">
        <f>IF('別紙様式2-2（４・５月分）'!P204="","",'別紙様式2-2（４・５月分）'!P204)</f>
        <v/>
      </c>
      <c r="N267" s="1392"/>
      <c r="O267" s="1398"/>
      <c r="P267" s="1399"/>
      <c r="Q267" s="1400"/>
      <c r="R267" s="1402"/>
      <c r="S267" s="1404"/>
      <c r="T267" s="1406"/>
      <c r="U267" s="1408"/>
      <c r="V267" s="1410"/>
      <c r="W267" s="1348"/>
      <c r="X267" s="1350"/>
      <c r="Y267" s="1348"/>
      <c r="Z267" s="1350"/>
      <c r="AA267" s="1348"/>
      <c r="AB267" s="1350"/>
      <c r="AC267" s="1348"/>
      <c r="AD267" s="1350"/>
      <c r="AE267" s="1350"/>
      <c r="AF267" s="1350"/>
      <c r="AG267" s="1352"/>
      <c r="AH267" s="1354"/>
      <c r="AI267" s="1356"/>
      <c r="AJ267" s="1358"/>
      <c r="AK267" s="1342"/>
      <c r="AL267" s="1346"/>
      <c r="AM267" s="1332"/>
      <c r="AN267" s="1338"/>
      <c r="AO267" s="1334"/>
      <c r="AP267" s="1334"/>
      <c r="AQ267" s="1336"/>
      <c r="AR267" s="1316"/>
      <c r="AS267" s="1302"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4"/>
      <c r="AU267" s="1303"/>
      <c r="AV267" s="1304" t="str">
        <f>IF('別紙様式2-2（４・５月分）'!N204="","",'別紙様式2-2（４・５月分）'!N204)</f>
        <v/>
      </c>
      <c r="AW267" s="1305"/>
      <c r="AX267" s="1306"/>
      <c r="AY267" s="1222"/>
      <c r="AZ267" s="1222"/>
      <c r="BA267" s="1222"/>
      <c r="BB267" s="1222"/>
      <c r="BC267" s="1222"/>
      <c r="BD267" s="1222"/>
      <c r="BE267" s="1222"/>
      <c r="BF267" s="1222"/>
      <c r="BG267" s="1222"/>
      <c r="BH267" s="1324"/>
      <c r="BI267" s="1326"/>
      <c r="BJ267" s="1303"/>
      <c r="BK267" s="452" t="str">
        <f>G266</f>
        <v/>
      </c>
    </row>
    <row r="268" spans="1:63" ht="15" customHeight="1">
      <c r="A268" s="1295"/>
      <c r="B268" s="1235"/>
      <c r="C268" s="1236"/>
      <c r="D268" s="1236"/>
      <c r="E268" s="1236"/>
      <c r="F268" s="1237"/>
      <c r="G268" s="1252"/>
      <c r="H268" s="1252"/>
      <c r="I268" s="1252"/>
      <c r="J268" s="1415"/>
      <c r="K268" s="1252"/>
      <c r="L268" s="1276"/>
      <c r="M268" s="1372"/>
      <c r="N268" s="1393"/>
      <c r="O268" s="1373" t="s">
        <v>2025</v>
      </c>
      <c r="P268" s="1375" t="str">
        <f>IFERROR(VLOOKUP('別紙様式2-2（４・５月分）'!AQ203,【参考】数式用!$AR$5:$AT$22,3,FALSE),"")</f>
        <v/>
      </c>
      <c r="Q268" s="1377" t="s">
        <v>2036</v>
      </c>
      <c r="R268" s="1379" t="str">
        <f>IFERROR(VLOOKUP(K266,【参考】数式用!$A$5:$AB$37,MATCH(P268,【参考】数式用!$B$4:$AB$4,0)+1,0),"")</f>
        <v/>
      </c>
      <c r="S268" s="1381" t="s">
        <v>161</v>
      </c>
      <c r="T268" s="1383"/>
      <c r="U268" s="1385" t="str">
        <f>IFERROR(VLOOKUP(K266,【参考】数式用!$A$5:$AB$37,MATCH(T268,【参考】数式用!$B$4:$AB$4,0)+1,0),"")</f>
        <v/>
      </c>
      <c r="V268" s="1387" t="s">
        <v>15</v>
      </c>
      <c r="W268" s="1389">
        <v>7</v>
      </c>
      <c r="X268" s="1363" t="s">
        <v>10</v>
      </c>
      <c r="Y268" s="1389">
        <v>4</v>
      </c>
      <c r="Z268" s="1363" t="s">
        <v>38</v>
      </c>
      <c r="AA268" s="1389">
        <v>8</v>
      </c>
      <c r="AB268" s="1363" t="s">
        <v>10</v>
      </c>
      <c r="AC268" s="1389">
        <v>3</v>
      </c>
      <c r="AD268" s="1363" t="s">
        <v>13</v>
      </c>
      <c r="AE268" s="1363" t="s">
        <v>20</v>
      </c>
      <c r="AF268" s="1363">
        <f>IF(W268&gt;=1,(AA268*12+AC268)-(W268*12+Y268)+1,"")</f>
        <v>12</v>
      </c>
      <c r="AG268" s="1359" t="s">
        <v>33</v>
      </c>
      <c r="AH268" s="1365" t="str">
        <f t="shared" ref="AH268" si="694">IFERROR(ROUNDDOWN(ROUND(L266*U268,0),0)*AF268,"")</f>
        <v/>
      </c>
      <c r="AI268" s="1367" t="str">
        <f t="shared" ref="AI268" si="695">IFERROR(ROUNDDOWN(ROUND((L266*(U268-AW266)),0),0)*AF268,"")</f>
        <v/>
      </c>
      <c r="AJ268" s="1369">
        <f>IFERROR(IF(OR(M266="",M267="",M269=""),0,ROUNDDOWN(ROUNDDOWN(ROUND(L266*VLOOKUP(K266,【参考】数式用!$A$5:$AB$37,MATCH("新加算Ⅳ",【参考】数式用!$B$4:$AB$4,0)+1,0),0),0)*AF268*0.5,0)),"")</f>
        <v>0</v>
      </c>
      <c r="AK268" s="1339" t="str">
        <f t="shared" ref="AK268" si="696">IF(T268&lt;&gt;"","新規に適用","")</f>
        <v/>
      </c>
      <c r="AL268" s="1343">
        <f>IFERROR(IF(OR(M269="ベア加算",M269=""),0, IF(OR(T266="新加算Ⅰ",T266="新加算Ⅱ",T266="新加算Ⅲ",T266="新加算Ⅳ"),0,ROUNDDOWN(ROUND(L266*VLOOKUP(K266,【参考】数式用!$A$5:$I$37,MATCH("ベア加算",【参考】数式用!$B$4:$I$4,0)+1,0),0),0)*AF268)),"")</f>
        <v>0</v>
      </c>
      <c r="AM268" s="1313" t="str">
        <f>IF(AND(T268&lt;&gt;"",AM266=""),"新規に適用",IF(AND(T268&lt;&gt;"",AM266&lt;&gt;""),"継続で適用",""))</f>
        <v/>
      </c>
      <c r="AN268" s="1313" t="str">
        <f>IF(AND(T268&lt;&gt;"",AN266=""),"新規に適用",IF(AND(T268&lt;&gt;"",AN266&lt;&gt;""),"継続で適用",""))</f>
        <v/>
      </c>
      <c r="AO268" s="1361"/>
      <c r="AP268" s="1313" t="str">
        <f>IF(AND(T268&lt;&gt;"",AP266=""),"新規に適用",IF(AND(T268&lt;&gt;"",AP266&lt;&gt;""),"継続で適用",""))</f>
        <v/>
      </c>
      <c r="AQ268" s="1317" t="str">
        <f t="shared" si="597"/>
        <v/>
      </c>
      <c r="AR268" s="1313" t="str">
        <f>IF(AND(T268&lt;&gt;"",AR266=""),"新規に適用",IF(AND(T268&lt;&gt;"",AR266&lt;&gt;""),"継続で適用",""))</f>
        <v/>
      </c>
      <c r="AS268" s="1302"/>
      <c r="AT268" s="554"/>
      <c r="AU268" s="1303" t="str">
        <f>IF(K266&lt;&gt;"","V列に色付け","")</f>
        <v/>
      </c>
      <c r="AV268" s="1304"/>
      <c r="AW268" s="1305"/>
      <c r="AX268"/>
      <c r="AY268"/>
      <c r="AZ268"/>
      <c r="BA268"/>
      <c r="BB268"/>
      <c r="BC268"/>
      <c r="BD268"/>
      <c r="BE268"/>
      <c r="BF268"/>
      <c r="BG268"/>
      <c r="BH268"/>
      <c r="BI268"/>
      <c r="BJ268"/>
      <c r="BK268" s="452" t="str">
        <f>G266</f>
        <v/>
      </c>
    </row>
    <row r="269" spans="1:63" ht="30" customHeight="1" thickBot="1">
      <c r="A269" s="1268"/>
      <c r="B269" s="1411"/>
      <c r="C269" s="1412"/>
      <c r="D269" s="1412"/>
      <c r="E269" s="1412"/>
      <c r="F269" s="1413"/>
      <c r="G269" s="1253"/>
      <c r="H269" s="1253"/>
      <c r="I269" s="1253"/>
      <c r="J269" s="1416"/>
      <c r="K269" s="1253"/>
      <c r="L269" s="1277"/>
      <c r="M269" s="553" t="str">
        <f>IF('別紙様式2-2（４・５月分）'!P205="","",'別紙様式2-2（４・５月分）'!P205)</f>
        <v/>
      </c>
      <c r="N269" s="1394"/>
      <c r="O269" s="1374"/>
      <c r="P269" s="1376"/>
      <c r="Q269" s="1378"/>
      <c r="R269" s="1380"/>
      <c r="S269" s="1382"/>
      <c r="T269" s="1384"/>
      <c r="U269" s="1386"/>
      <c r="V269" s="1388"/>
      <c r="W269" s="1390"/>
      <c r="X269" s="1364"/>
      <c r="Y269" s="1390"/>
      <c r="Z269" s="1364"/>
      <c r="AA269" s="1390"/>
      <c r="AB269" s="1364"/>
      <c r="AC269" s="1390"/>
      <c r="AD269" s="1364"/>
      <c r="AE269" s="1364"/>
      <c r="AF269" s="1364"/>
      <c r="AG269" s="1360"/>
      <c r="AH269" s="1366"/>
      <c r="AI269" s="1368"/>
      <c r="AJ269" s="1370"/>
      <c r="AK269" s="1340"/>
      <c r="AL269" s="1344"/>
      <c r="AM269" s="1314"/>
      <c r="AN269" s="1314"/>
      <c r="AO269" s="1362"/>
      <c r="AP269" s="1314"/>
      <c r="AQ269" s="1318"/>
      <c r="AR269" s="1314"/>
      <c r="AS269" s="490"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4"/>
      <c r="AU269" s="1303"/>
      <c r="AV269" s="555" t="str">
        <f>IF('別紙様式2-2（４・５月分）'!N205="","",'別紙様式2-2（４・５月分）'!N205)</f>
        <v/>
      </c>
      <c r="AW269" s="1305"/>
      <c r="AX269"/>
      <c r="AY269"/>
      <c r="AZ269"/>
      <c r="BA269"/>
      <c r="BB269"/>
      <c r="BC269"/>
      <c r="BD269"/>
      <c r="BE269"/>
      <c r="BF269"/>
      <c r="BG269"/>
      <c r="BH269"/>
      <c r="BI269"/>
      <c r="BJ269"/>
      <c r="BK269" s="452" t="str">
        <f>G266</f>
        <v/>
      </c>
    </row>
    <row r="270" spans="1:63" ht="30" customHeight="1">
      <c r="A270" s="1266">
        <v>65</v>
      </c>
      <c r="B270" s="1235" t="str">
        <f>IF(基本情報入力シート!C118="","",基本情報入力シート!C118)</f>
        <v/>
      </c>
      <c r="C270" s="1236"/>
      <c r="D270" s="1236"/>
      <c r="E270" s="1236"/>
      <c r="F270" s="1237"/>
      <c r="G270" s="1252" t="str">
        <f>IF(基本情報入力シート!M118="","",基本情報入力シート!M118)</f>
        <v/>
      </c>
      <c r="H270" s="1252" t="str">
        <f>IF(基本情報入力シート!R118="","",基本情報入力シート!R118)</f>
        <v/>
      </c>
      <c r="I270" s="1252" t="str">
        <f>IF(基本情報入力シート!W118="","",基本情報入力シート!W118)</f>
        <v/>
      </c>
      <c r="J270" s="1415" t="str">
        <f>IF(基本情報入力シート!X118="","",基本情報入力シート!X118)</f>
        <v/>
      </c>
      <c r="K270" s="1252" t="str">
        <f>IF(基本情報入力シート!Y118="","",基本情報入力シート!Y118)</f>
        <v/>
      </c>
      <c r="L270" s="1276" t="str">
        <f>IF(基本情報入力シート!AB118="","",基本情報入力シート!AB118)</f>
        <v/>
      </c>
      <c r="M270" s="550" t="str">
        <f>IF('別紙様式2-2（４・５月分）'!P206="","",'別紙様式2-2（４・５月分）'!P206)</f>
        <v/>
      </c>
      <c r="N270" s="1391" t="str">
        <f>IF(SUM('別紙様式2-2（４・５月分）'!Q206:Q208)=0,"",SUM('別紙様式2-2（４・５月分）'!Q206:Q208))</f>
        <v/>
      </c>
      <c r="O270" s="1395" t="str">
        <f>IFERROR(VLOOKUP('別紙様式2-2（４・５月分）'!AQ206,【参考】数式用!$AR$5:$AS$22,2,FALSE),"")</f>
        <v/>
      </c>
      <c r="P270" s="1396"/>
      <c r="Q270" s="1397"/>
      <c r="R270" s="1401" t="str">
        <f>IFERROR(VLOOKUP(K270,【参考】数式用!$A$5:$AB$37,MATCH(O270,【参考】数式用!$B$4:$AB$4,0)+1,0),"")</f>
        <v/>
      </c>
      <c r="S270" s="1403" t="s">
        <v>2021</v>
      </c>
      <c r="T270" s="1405"/>
      <c r="U270" s="1407" t="str">
        <f>IFERROR(VLOOKUP(K270,【参考】数式用!$A$5:$AB$37,MATCH(T270,【参考】数式用!$B$4:$AB$4,0)+1,0),"")</f>
        <v/>
      </c>
      <c r="V270" s="1409" t="s">
        <v>15</v>
      </c>
      <c r="W270" s="1347">
        <v>6</v>
      </c>
      <c r="X270" s="1349" t="s">
        <v>10</v>
      </c>
      <c r="Y270" s="1347">
        <v>6</v>
      </c>
      <c r="Z270" s="1349" t="s">
        <v>38</v>
      </c>
      <c r="AA270" s="1347">
        <v>7</v>
      </c>
      <c r="AB270" s="1349" t="s">
        <v>10</v>
      </c>
      <c r="AC270" s="1347">
        <v>3</v>
      </c>
      <c r="AD270" s="1349" t="s">
        <v>13</v>
      </c>
      <c r="AE270" s="1349" t="s">
        <v>20</v>
      </c>
      <c r="AF270" s="1349">
        <f>IF(W270&gt;=1,(AA270*12+AC270)-(W270*12+Y270)+1,"")</f>
        <v>10</v>
      </c>
      <c r="AG270" s="1351" t="s">
        <v>33</v>
      </c>
      <c r="AH270" s="1353" t="str">
        <f t="shared" ref="AH270" si="698">IFERROR(ROUNDDOWN(ROUND(L270*U270,0),0)*AF270,"")</f>
        <v/>
      </c>
      <c r="AI270" s="1355" t="str">
        <f t="shared" ref="AI270" si="699">IFERROR(ROUNDDOWN(ROUND((L270*(U270-AW270)),0),0)*AF270,"")</f>
        <v/>
      </c>
      <c r="AJ270" s="1357">
        <f>IFERROR(IF(OR(M270="",M271="",M273=""),0,ROUNDDOWN(ROUNDDOWN(ROUND(L270*VLOOKUP(K270,【参考】数式用!$A$5:$AB$37,MATCH("新加算Ⅳ",【参考】数式用!$B$4:$AB$4,0)+1,0),0),0)*AF270*0.5,0)),"")</f>
        <v>0</v>
      </c>
      <c r="AK270" s="1341"/>
      <c r="AL270" s="1345">
        <f>IFERROR(IF(OR(M273="ベア加算",M273=""),0, IF(OR(T270="新加算Ⅰ",T270="新加算Ⅱ",T270="新加算Ⅲ",T270="新加算Ⅳ"),ROUNDDOWN(ROUND(L270*VLOOKUP(K270,【参考】数式用!$A$5:$I$37,MATCH("ベア加算",【参考】数式用!$B$4:$I$4,0)+1,0),0),0)*AF270,0)),"")</f>
        <v>0</v>
      </c>
      <c r="AM270" s="1331"/>
      <c r="AN270" s="1337"/>
      <c r="AO270" s="1333"/>
      <c r="AP270" s="1333"/>
      <c r="AQ270" s="1335"/>
      <c r="AR270" s="1315"/>
      <c r="AS270" s="465" t="str">
        <f t="shared" ref="AS270" si="700">IF(AU270="","",IF(U270&lt;N270,"！加算の要件上は問題ありませんが、令和６年４・５月と比較して令和６年６月に加算率が下がる計画になっています。",""))</f>
        <v/>
      </c>
      <c r="AT270" s="554"/>
      <c r="AU270" s="1303" t="str">
        <f>IF(K270&lt;&gt;"","V列に色付け","")</f>
        <v/>
      </c>
      <c r="AV270" s="555" t="str">
        <f>IF('別紙様式2-2（４・５月分）'!N206="","",'別紙様式2-2（４・５月分）'!N206)</f>
        <v/>
      </c>
      <c r="AW270" s="1305" t="str">
        <f>IF(SUM('別紙様式2-2（４・５月分）'!O206:O208)=0,"",SUM('別紙様式2-2（４・５月分）'!O206:O208))</f>
        <v/>
      </c>
      <c r="AX270" s="1306" t="str">
        <f>IFERROR(VLOOKUP(K270,【参考】数式用!$AH$2:$AI$34,2,FALSE),"")</f>
        <v/>
      </c>
      <c r="AY270" s="1222" t="s">
        <v>1959</v>
      </c>
      <c r="AZ270" s="1222" t="s">
        <v>1960</v>
      </c>
      <c r="BA270" s="1222" t="s">
        <v>1961</v>
      </c>
      <c r="BB270" s="1222" t="s">
        <v>1962</v>
      </c>
      <c r="BC270" s="1222" t="str">
        <f>IF(AND(O270&lt;&gt;"新加算Ⅰ",O270&lt;&gt;"新加算Ⅱ",O270&lt;&gt;"新加算Ⅲ",O270&lt;&gt;"新加算Ⅳ"),O270,IF(P272&lt;&gt;"",P272,""))</f>
        <v/>
      </c>
      <c r="BD270" s="1222"/>
      <c r="BE270" s="1222" t="str">
        <f t="shared" ref="BE270" si="701">IF(AL270&lt;&gt;0,IF(AM270="○","入力済","未入力"),"")</f>
        <v/>
      </c>
      <c r="BF270" s="1222"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2" t="str">
        <f>IF(OR(T270="新加算Ⅴ（７）",T270="新加算Ⅴ（９）",T270="新加算Ⅴ（10）",T270="新加算Ⅴ（12）",T270="新加算Ⅴ（13）",T270="新加算Ⅴ（14）"),IF(OR(AO270="○",AO270="令和６年度中に満たす"),"入力済","未入力"),"")</f>
        <v/>
      </c>
      <c r="BH270" s="1323" t="str">
        <f t="shared" ref="BH270" si="702">IF(OR(T270="新加算Ⅰ",T270="新加算Ⅱ",T270="新加算Ⅲ",T270="新加算Ⅴ（１）",T270="新加算Ⅴ（３）",T270="新加算Ⅴ（８）"),IF(OR(AP270="○",AP270="令和６年度中に満たす"),"入力済","未入力"),"")</f>
        <v/>
      </c>
      <c r="BI270" s="1325" t="str">
        <f t="shared" ref="BI270" si="703">IF(OR(T270="新加算Ⅰ",T270="新加算Ⅱ",T270="新加算Ⅴ（１）",T270="新加算Ⅴ（２）",T270="新加算Ⅴ（３）",T270="新加算Ⅴ（４）",T270="新加算Ⅴ（５）",T270="新加算Ⅴ（６）",T270="新加算Ⅴ（７）",T270="新加算Ⅴ（９）",T270="新加算Ⅴ（10）",T270="新加算Ⅴ（12）"),1,"")</f>
        <v/>
      </c>
      <c r="BJ270" s="1303" t="str">
        <f>IF(OR(T270="新加算Ⅰ",T270="新加算Ⅴ（１）",T270="新加算Ⅴ（２）",T270="新加算Ⅴ（５）",T270="新加算Ⅴ（７）",T270="新加算Ⅴ（10）"),IF(AR270="","未入力","入力済"),"")</f>
        <v/>
      </c>
      <c r="BK270" s="452" t="str">
        <f>G270</f>
        <v/>
      </c>
    </row>
    <row r="271" spans="1:63" ht="15" customHeight="1">
      <c r="A271" s="1267"/>
      <c r="B271" s="1235"/>
      <c r="C271" s="1236"/>
      <c r="D271" s="1236"/>
      <c r="E271" s="1236"/>
      <c r="F271" s="1237"/>
      <c r="G271" s="1252"/>
      <c r="H271" s="1252"/>
      <c r="I271" s="1252"/>
      <c r="J271" s="1415"/>
      <c r="K271" s="1252"/>
      <c r="L271" s="1276"/>
      <c r="M271" s="1371" t="str">
        <f>IF('別紙様式2-2（４・５月分）'!P207="","",'別紙様式2-2（４・５月分）'!P207)</f>
        <v/>
      </c>
      <c r="N271" s="1392"/>
      <c r="O271" s="1398"/>
      <c r="P271" s="1399"/>
      <c r="Q271" s="1400"/>
      <c r="R271" s="1402"/>
      <c r="S271" s="1404"/>
      <c r="T271" s="1406"/>
      <c r="U271" s="1408"/>
      <c r="V271" s="1410"/>
      <c r="W271" s="1348"/>
      <c r="X271" s="1350"/>
      <c r="Y271" s="1348"/>
      <c r="Z271" s="1350"/>
      <c r="AA271" s="1348"/>
      <c r="AB271" s="1350"/>
      <c r="AC271" s="1348"/>
      <c r="AD271" s="1350"/>
      <c r="AE271" s="1350"/>
      <c r="AF271" s="1350"/>
      <c r="AG271" s="1352"/>
      <c r="AH271" s="1354"/>
      <c r="AI271" s="1356"/>
      <c r="AJ271" s="1358"/>
      <c r="AK271" s="1342"/>
      <c r="AL271" s="1346"/>
      <c r="AM271" s="1332"/>
      <c r="AN271" s="1338"/>
      <c r="AO271" s="1334"/>
      <c r="AP271" s="1334"/>
      <c r="AQ271" s="1336"/>
      <c r="AR271" s="1316"/>
      <c r="AS271" s="1302"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4"/>
      <c r="AU271" s="1303"/>
      <c r="AV271" s="1304" t="str">
        <f>IF('別紙様式2-2（４・５月分）'!N207="","",'別紙様式2-2（４・５月分）'!N207)</f>
        <v/>
      </c>
      <c r="AW271" s="1305"/>
      <c r="AX271" s="1306"/>
      <c r="AY271" s="1222"/>
      <c r="AZ271" s="1222"/>
      <c r="BA271" s="1222"/>
      <c r="BB271" s="1222"/>
      <c r="BC271" s="1222"/>
      <c r="BD271" s="1222"/>
      <c r="BE271" s="1222"/>
      <c r="BF271" s="1222"/>
      <c r="BG271" s="1222"/>
      <c r="BH271" s="1324"/>
      <c r="BI271" s="1326"/>
      <c r="BJ271" s="1303"/>
      <c r="BK271" s="452" t="str">
        <f>G270</f>
        <v/>
      </c>
    </row>
    <row r="272" spans="1:63" ht="15" customHeight="1">
      <c r="A272" s="1295"/>
      <c r="B272" s="1235"/>
      <c r="C272" s="1236"/>
      <c r="D272" s="1236"/>
      <c r="E272" s="1236"/>
      <c r="F272" s="1237"/>
      <c r="G272" s="1252"/>
      <c r="H272" s="1252"/>
      <c r="I272" s="1252"/>
      <c r="J272" s="1415"/>
      <c r="K272" s="1252"/>
      <c r="L272" s="1276"/>
      <c r="M272" s="1372"/>
      <c r="N272" s="1393"/>
      <c r="O272" s="1373" t="s">
        <v>2025</v>
      </c>
      <c r="P272" s="1375" t="str">
        <f>IFERROR(VLOOKUP('別紙様式2-2（４・５月分）'!AQ206,【参考】数式用!$AR$5:$AT$22,3,FALSE),"")</f>
        <v/>
      </c>
      <c r="Q272" s="1377" t="s">
        <v>2036</v>
      </c>
      <c r="R272" s="1379" t="str">
        <f>IFERROR(VLOOKUP(K270,【参考】数式用!$A$5:$AB$37,MATCH(P272,【参考】数式用!$B$4:$AB$4,0)+1,0),"")</f>
        <v/>
      </c>
      <c r="S272" s="1381" t="s">
        <v>161</v>
      </c>
      <c r="T272" s="1383"/>
      <c r="U272" s="1385" t="str">
        <f>IFERROR(VLOOKUP(K270,【参考】数式用!$A$5:$AB$37,MATCH(T272,【参考】数式用!$B$4:$AB$4,0)+1,0),"")</f>
        <v/>
      </c>
      <c r="V272" s="1387" t="s">
        <v>15</v>
      </c>
      <c r="W272" s="1389">
        <v>7</v>
      </c>
      <c r="X272" s="1363" t="s">
        <v>10</v>
      </c>
      <c r="Y272" s="1389">
        <v>4</v>
      </c>
      <c r="Z272" s="1363" t="s">
        <v>38</v>
      </c>
      <c r="AA272" s="1389">
        <v>8</v>
      </c>
      <c r="AB272" s="1363" t="s">
        <v>10</v>
      </c>
      <c r="AC272" s="1389">
        <v>3</v>
      </c>
      <c r="AD272" s="1363" t="s">
        <v>13</v>
      </c>
      <c r="AE272" s="1363" t="s">
        <v>20</v>
      </c>
      <c r="AF272" s="1363">
        <f>IF(W272&gt;=1,(AA272*12+AC272)-(W272*12+Y272)+1,"")</f>
        <v>12</v>
      </c>
      <c r="AG272" s="1359" t="s">
        <v>33</v>
      </c>
      <c r="AH272" s="1365" t="str">
        <f t="shared" ref="AH272" si="705">IFERROR(ROUNDDOWN(ROUND(L270*U272,0),0)*AF272,"")</f>
        <v/>
      </c>
      <c r="AI272" s="1367" t="str">
        <f t="shared" ref="AI272" si="706">IFERROR(ROUNDDOWN(ROUND((L270*(U272-AW270)),0),0)*AF272,"")</f>
        <v/>
      </c>
      <c r="AJ272" s="1369">
        <f>IFERROR(IF(OR(M270="",M271="",M273=""),0,ROUNDDOWN(ROUNDDOWN(ROUND(L270*VLOOKUP(K270,【参考】数式用!$A$5:$AB$37,MATCH("新加算Ⅳ",【参考】数式用!$B$4:$AB$4,0)+1,0),0),0)*AF272*0.5,0)),"")</f>
        <v>0</v>
      </c>
      <c r="AK272" s="1339" t="str">
        <f t="shared" ref="AK272" si="707">IF(T272&lt;&gt;"","新規に適用","")</f>
        <v/>
      </c>
      <c r="AL272" s="1343">
        <f>IFERROR(IF(OR(M273="ベア加算",M273=""),0, IF(OR(T270="新加算Ⅰ",T270="新加算Ⅱ",T270="新加算Ⅲ",T270="新加算Ⅳ"),0,ROUNDDOWN(ROUND(L270*VLOOKUP(K270,【参考】数式用!$A$5:$I$37,MATCH("ベア加算",【参考】数式用!$B$4:$I$4,0)+1,0),0),0)*AF272)),"")</f>
        <v>0</v>
      </c>
      <c r="AM272" s="1313" t="str">
        <f>IF(AND(T272&lt;&gt;"",AM270=""),"新規に適用",IF(AND(T272&lt;&gt;"",AM270&lt;&gt;""),"継続で適用",""))</f>
        <v/>
      </c>
      <c r="AN272" s="1313" t="str">
        <f>IF(AND(T272&lt;&gt;"",AN270=""),"新規に適用",IF(AND(T272&lt;&gt;"",AN270&lt;&gt;""),"継続で適用",""))</f>
        <v/>
      </c>
      <c r="AO272" s="1361"/>
      <c r="AP272" s="1313" t="str">
        <f>IF(AND(T272&lt;&gt;"",AP270=""),"新規に適用",IF(AND(T272&lt;&gt;"",AP270&lt;&gt;""),"継続で適用",""))</f>
        <v/>
      </c>
      <c r="AQ272" s="1317" t="str">
        <f t="shared" si="597"/>
        <v/>
      </c>
      <c r="AR272" s="1313" t="str">
        <f>IF(AND(T272&lt;&gt;"",AR270=""),"新規に適用",IF(AND(T272&lt;&gt;"",AR270&lt;&gt;""),"継続で適用",""))</f>
        <v/>
      </c>
      <c r="AS272" s="1302"/>
      <c r="AT272" s="554"/>
      <c r="AU272" s="1303" t="str">
        <f>IF(K270&lt;&gt;"","V列に色付け","")</f>
        <v/>
      </c>
      <c r="AV272" s="1304"/>
      <c r="AW272" s="1305"/>
      <c r="AX272"/>
      <c r="AY272"/>
      <c r="AZ272"/>
      <c r="BA272"/>
      <c r="BB272"/>
      <c r="BC272"/>
      <c r="BD272"/>
      <c r="BE272"/>
      <c r="BF272"/>
      <c r="BG272"/>
      <c r="BH272"/>
      <c r="BI272"/>
      <c r="BJ272"/>
      <c r="BK272" s="452" t="str">
        <f>G270</f>
        <v/>
      </c>
    </row>
    <row r="273" spans="1:63" ht="30" customHeight="1" thickBot="1">
      <c r="A273" s="1268"/>
      <c r="B273" s="1411"/>
      <c r="C273" s="1412"/>
      <c r="D273" s="1412"/>
      <c r="E273" s="1412"/>
      <c r="F273" s="1413"/>
      <c r="G273" s="1253"/>
      <c r="H273" s="1253"/>
      <c r="I273" s="1253"/>
      <c r="J273" s="1416"/>
      <c r="K273" s="1253"/>
      <c r="L273" s="1277"/>
      <c r="M273" s="553" t="str">
        <f>IF('別紙様式2-2（４・５月分）'!P208="","",'別紙様式2-2（４・５月分）'!P208)</f>
        <v/>
      </c>
      <c r="N273" s="1394"/>
      <c r="O273" s="1374"/>
      <c r="P273" s="1376"/>
      <c r="Q273" s="1378"/>
      <c r="R273" s="1380"/>
      <c r="S273" s="1382"/>
      <c r="T273" s="1384"/>
      <c r="U273" s="1386"/>
      <c r="V273" s="1388"/>
      <c r="W273" s="1390"/>
      <c r="X273" s="1364"/>
      <c r="Y273" s="1390"/>
      <c r="Z273" s="1364"/>
      <c r="AA273" s="1390"/>
      <c r="AB273" s="1364"/>
      <c r="AC273" s="1390"/>
      <c r="AD273" s="1364"/>
      <c r="AE273" s="1364"/>
      <c r="AF273" s="1364"/>
      <c r="AG273" s="1360"/>
      <c r="AH273" s="1366"/>
      <c r="AI273" s="1368"/>
      <c r="AJ273" s="1370"/>
      <c r="AK273" s="1340"/>
      <c r="AL273" s="1344"/>
      <c r="AM273" s="1314"/>
      <c r="AN273" s="1314"/>
      <c r="AO273" s="1362"/>
      <c r="AP273" s="1314"/>
      <c r="AQ273" s="1318"/>
      <c r="AR273" s="1314"/>
      <c r="AS273" s="490"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4"/>
      <c r="AU273" s="1303"/>
      <c r="AV273" s="555" t="str">
        <f>IF('別紙様式2-2（４・５月分）'!N208="","",'別紙様式2-2（４・５月分）'!N208)</f>
        <v/>
      </c>
      <c r="AW273" s="1305"/>
      <c r="AX273"/>
      <c r="AY273"/>
      <c r="AZ273"/>
      <c r="BA273"/>
      <c r="BB273"/>
      <c r="BC273"/>
      <c r="BD273"/>
      <c r="BE273"/>
      <c r="BF273"/>
      <c r="BG273"/>
      <c r="BH273"/>
      <c r="BI273"/>
      <c r="BJ273"/>
      <c r="BK273" s="452" t="str">
        <f>G270</f>
        <v/>
      </c>
    </row>
    <row r="274" spans="1:63" ht="30" customHeight="1">
      <c r="A274" s="1293">
        <v>66</v>
      </c>
      <c r="B274" s="1232" t="str">
        <f>IF(基本情報入力シート!C119="","",基本情報入力シート!C119)</f>
        <v/>
      </c>
      <c r="C274" s="1233"/>
      <c r="D274" s="1233"/>
      <c r="E274" s="1233"/>
      <c r="F274" s="1234"/>
      <c r="G274" s="1251" t="str">
        <f>IF(基本情報入力シート!M119="","",基本情報入力シート!M119)</f>
        <v/>
      </c>
      <c r="H274" s="1251" t="str">
        <f>IF(基本情報入力シート!R119="","",基本情報入力シート!R119)</f>
        <v/>
      </c>
      <c r="I274" s="1251" t="str">
        <f>IF(基本情報入力シート!W119="","",基本情報入力シート!W119)</f>
        <v/>
      </c>
      <c r="J274" s="1414" t="str">
        <f>IF(基本情報入力シート!X119="","",基本情報入力シート!X119)</f>
        <v/>
      </c>
      <c r="K274" s="1251" t="str">
        <f>IF(基本情報入力シート!Y119="","",基本情報入力シート!Y119)</f>
        <v/>
      </c>
      <c r="L274" s="1275" t="str">
        <f>IF(基本情報入力シート!AB119="","",基本情報入力シート!AB119)</f>
        <v/>
      </c>
      <c r="M274" s="550" t="str">
        <f>IF('別紙様式2-2（４・５月分）'!P209="","",'別紙様式2-2（４・５月分）'!P209)</f>
        <v/>
      </c>
      <c r="N274" s="1391" t="str">
        <f>IF(SUM('別紙様式2-2（４・５月分）'!Q209:Q211)=0,"",SUM('別紙様式2-2（４・５月分）'!Q209:Q211))</f>
        <v/>
      </c>
      <c r="O274" s="1395" t="str">
        <f>IFERROR(VLOOKUP('別紙様式2-2（４・５月分）'!AQ209,【参考】数式用!$AR$5:$AS$22,2,FALSE),"")</f>
        <v/>
      </c>
      <c r="P274" s="1396"/>
      <c r="Q274" s="1397"/>
      <c r="R274" s="1401" t="str">
        <f>IFERROR(VLOOKUP(K274,【参考】数式用!$A$5:$AB$37,MATCH(O274,【参考】数式用!$B$4:$AB$4,0)+1,0),"")</f>
        <v/>
      </c>
      <c r="S274" s="1403" t="s">
        <v>2021</v>
      </c>
      <c r="T274" s="1405"/>
      <c r="U274" s="1407" t="str">
        <f>IFERROR(VLOOKUP(K274,【参考】数式用!$A$5:$AB$37,MATCH(T274,【参考】数式用!$B$4:$AB$4,0)+1,0),"")</f>
        <v/>
      </c>
      <c r="V274" s="1409" t="s">
        <v>15</v>
      </c>
      <c r="W274" s="1347">
        <v>6</v>
      </c>
      <c r="X274" s="1349" t="s">
        <v>10</v>
      </c>
      <c r="Y274" s="1347">
        <v>6</v>
      </c>
      <c r="Z274" s="1349" t="s">
        <v>38</v>
      </c>
      <c r="AA274" s="1347">
        <v>7</v>
      </c>
      <c r="AB274" s="1349" t="s">
        <v>10</v>
      </c>
      <c r="AC274" s="1347">
        <v>3</v>
      </c>
      <c r="AD274" s="1349" t="s">
        <v>13</v>
      </c>
      <c r="AE274" s="1349" t="s">
        <v>20</v>
      </c>
      <c r="AF274" s="1349">
        <f>IF(W274&gt;=1,(AA274*12+AC274)-(W274*12+Y274)+1,"")</f>
        <v>10</v>
      </c>
      <c r="AG274" s="1351" t="s">
        <v>33</v>
      </c>
      <c r="AH274" s="1353" t="str">
        <f t="shared" ref="AH274" si="709">IFERROR(ROUNDDOWN(ROUND(L274*U274,0),0)*AF274,"")</f>
        <v/>
      </c>
      <c r="AI274" s="1355" t="str">
        <f t="shared" ref="AI274" si="710">IFERROR(ROUNDDOWN(ROUND((L274*(U274-AW274)),0),0)*AF274,"")</f>
        <v/>
      </c>
      <c r="AJ274" s="1357">
        <f>IFERROR(IF(OR(M274="",M275="",M277=""),0,ROUNDDOWN(ROUNDDOWN(ROUND(L274*VLOOKUP(K274,【参考】数式用!$A$5:$AB$37,MATCH("新加算Ⅳ",【参考】数式用!$B$4:$AB$4,0)+1,0),0),0)*AF274*0.5,0)),"")</f>
        <v>0</v>
      </c>
      <c r="AK274" s="1341"/>
      <c r="AL274" s="1345">
        <f>IFERROR(IF(OR(M277="ベア加算",M277=""),0, IF(OR(T274="新加算Ⅰ",T274="新加算Ⅱ",T274="新加算Ⅲ",T274="新加算Ⅳ"),ROUNDDOWN(ROUND(L274*VLOOKUP(K274,【参考】数式用!$A$5:$I$37,MATCH("ベア加算",【参考】数式用!$B$4:$I$4,0)+1,0),0),0)*AF274,0)),"")</f>
        <v>0</v>
      </c>
      <c r="AM274" s="1331"/>
      <c r="AN274" s="1337"/>
      <c r="AO274" s="1333"/>
      <c r="AP274" s="1333"/>
      <c r="AQ274" s="1335"/>
      <c r="AR274" s="1315"/>
      <c r="AS274" s="465" t="str">
        <f t="shared" ref="AS274" si="711">IF(AU274="","",IF(U274&lt;N274,"！加算の要件上は問題ありませんが、令和６年４・５月と比較して令和６年６月に加算率が下がる計画になっています。",""))</f>
        <v/>
      </c>
      <c r="AT274" s="554"/>
      <c r="AU274" s="1303" t="str">
        <f>IF(K274&lt;&gt;"","V列に色付け","")</f>
        <v/>
      </c>
      <c r="AV274" s="555" t="str">
        <f>IF('別紙様式2-2（４・５月分）'!N209="","",'別紙様式2-2（４・５月分）'!N209)</f>
        <v/>
      </c>
      <c r="AW274" s="1305" t="str">
        <f>IF(SUM('別紙様式2-2（４・５月分）'!O209:O211)=0,"",SUM('別紙様式2-2（４・５月分）'!O209:O211))</f>
        <v/>
      </c>
      <c r="AX274" s="1306" t="str">
        <f>IFERROR(VLOOKUP(K274,【参考】数式用!$AH$2:$AI$34,2,FALSE),"")</f>
        <v/>
      </c>
      <c r="AY274" s="1222" t="s">
        <v>1959</v>
      </c>
      <c r="AZ274" s="1222" t="s">
        <v>1960</v>
      </c>
      <c r="BA274" s="1222" t="s">
        <v>1961</v>
      </c>
      <c r="BB274" s="1222" t="s">
        <v>1962</v>
      </c>
      <c r="BC274" s="1222" t="str">
        <f>IF(AND(O274&lt;&gt;"新加算Ⅰ",O274&lt;&gt;"新加算Ⅱ",O274&lt;&gt;"新加算Ⅲ",O274&lt;&gt;"新加算Ⅳ"),O274,IF(P276&lt;&gt;"",P276,""))</f>
        <v/>
      </c>
      <c r="BD274" s="1222"/>
      <c r="BE274" s="1222" t="str">
        <f t="shared" ref="BE274" si="712">IF(AL274&lt;&gt;0,IF(AM274="○","入力済","未入力"),"")</f>
        <v/>
      </c>
      <c r="BF274" s="1222"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2" t="str">
        <f>IF(OR(T274="新加算Ⅴ（７）",T274="新加算Ⅴ（９）",T274="新加算Ⅴ（10）",T274="新加算Ⅴ（12）",T274="新加算Ⅴ（13）",T274="新加算Ⅴ（14）"),IF(OR(AO274="○",AO274="令和６年度中に満たす"),"入力済","未入力"),"")</f>
        <v/>
      </c>
      <c r="BH274" s="1323" t="str">
        <f t="shared" ref="BH274" si="713">IF(OR(T274="新加算Ⅰ",T274="新加算Ⅱ",T274="新加算Ⅲ",T274="新加算Ⅴ（１）",T274="新加算Ⅴ（３）",T274="新加算Ⅴ（８）"),IF(OR(AP274="○",AP274="令和６年度中に満たす"),"入力済","未入力"),"")</f>
        <v/>
      </c>
      <c r="BI274" s="1325" t="str">
        <f t="shared" ref="BI274" si="714">IF(OR(T274="新加算Ⅰ",T274="新加算Ⅱ",T274="新加算Ⅴ（１）",T274="新加算Ⅴ（２）",T274="新加算Ⅴ（３）",T274="新加算Ⅴ（４）",T274="新加算Ⅴ（５）",T274="新加算Ⅴ（６）",T274="新加算Ⅴ（７）",T274="新加算Ⅴ（９）",T274="新加算Ⅴ（10）",T274="新加算Ⅴ（12）"),1,"")</f>
        <v/>
      </c>
      <c r="BJ274" s="1303" t="str">
        <f>IF(OR(T274="新加算Ⅰ",T274="新加算Ⅴ（１）",T274="新加算Ⅴ（２）",T274="新加算Ⅴ（５）",T274="新加算Ⅴ（７）",T274="新加算Ⅴ（10）"),IF(AR274="","未入力","入力済"),"")</f>
        <v/>
      </c>
      <c r="BK274" s="452" t="str">
        <f>G274</f>
        <v/>
      </c>
    </row>
    <row r="275" spans="1:63" ht="15" customHeight="1">
      <c r="A275" s="1267"/>
      <c r="B275" s="1235"/>
      <c r="C275" s="1236"/>
      <c r="D275" s="1236"/>
      <c r="E275" s="1236"/>
      <c r="F275" s="1237"/>
      <c r="G275" s="1252"/>
      <c r="H275" s="1252"/>
      <c r="I275" s="1252"/>
      <c r="J275" s="1415"/>
      <c r="K275" s="1252"/>
      <c r="L275" s="1276"/>
      <c r="M275" s="1371" t="str">
        <f>IF('別紙様式2-2（４・５月分）'!P210="","",'別紙様式2-2（４・５月分）'!P210)</f>
        <v/>
      </c>
      <c r="N275" s="1392"/>
      <c r="O275" s="1398"/>
      <c r="P275" s="1399"/>
      <c r="Q275" s="1400"/>
      <c r="R275" s="1402"/>
      <c r="S275" s="1404"/>
      <c r="T275" s="1406"/>
      <c r="U275" s="1408"/>
      <c r="V275" s="1410"/>
      <c r="W275" s="1348"/>
      <c r="X275" s="1350"/>
      <c r="Y275" s="1348"/>
      <c r="Z275" s="1350"/>
      <c r="AA275" s="1348"/>
      <c r="AB275" s="1350"/>
      <c r="AC275" s="1348"/>
      <c r="AD275" s="1350"/>
      <c r="AE275" s="1350"/>
      <c r="AF275" s="1350"/>
      <c r="AG275" s="1352"/>
      <c r="AH275" s="1354"/>
      <c r="AI275" s="1356"/>
      <c r="AJ275" s="1358"/>
      <c r="AK275" s="1342"/>
      <c r="AL275" s="1346"/>
      <c r="AM275" s="1332"/>
      <c r="AN275" s="1338"/>
      <c r="AO275" s="1334"/>
      <c r="AP275" s="1334"/>
      <c r="AQ275" s="1336"/>
      <c r="AR275" s="1316"/>
      <c r="AS275" s="1302"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4"/>
      <c r="AU275" s="1303"/>
      <c r="AV275" s="1304" t="str">
        <f>IF('別紙様式2-2（４・５月分）'!N210="","",'別紙様式2-2（４・５月分）'!N210)</f>
        <v/>
      </c>
      <c r="AW275" s="1305"/>
      <c r="AX275" s="1306"/>
      <c r="AY275" s="1222"/>
      <c r="AZ275" s="1222"/>
      <c r="BA275" s="1222"/>
      <c r="BB275" s="1222"/>
      <c r="BC275" s="1222"/>
      <c r="BD275" s="1222"/>
      <c r="BE275" s="1222"/>
      <c r="BF275" s="1222"/>
      <c r="BG275" s="1222"/>
      <c r="BH275" s="1324"/>
      <c r="BI275" s="1326"/>
      <c r="BJ275" s="1303"/>
      <c r="BK275" s="452" t="str">
        <f>G274</f>
        <v/>
      </c>
    </row>
    <row r="276" spans="1:63" ht="15" customHeight="1">
      <c r="A276" s="1295"/>
      <c r="B276" s="1235"/>
      <c r="C276" s="1236"/>
      <c r="D276" s="1236"/>
      <c r="E276" s="1236"/>
      <c r="F276" s="1237"/>
      <c r="G276" s="1252"/>
      <c r="H276" s="1252"/>
      <c r="I276" s="1252"/>
      <c r="J276" s="1415"/>
      <c r="K276" s="1252"/>
      <c r="L276" s="1276"/>
      <c r="M276" s="1372"/>
      <c r="N276" s="1393"/>
      <c r="O276" s="1373" t="s">
        <v>2025</v>
      </c>
      <c r="P276" s="1375" t="str">
        <f>IFERROR(VLOOKUP('別紙様式2-2（４・５月分）'!AQ209,【参考】数式用!$AR$5:$AT$22,3,FALSE),"")</f>
        <v/>
      </c>
      <c r="Q276" s="1377" t="s">
        <v>2036</v>
      </c>
      <c r="R276" s="1379" t="str">
        <f>IFERROR(VLOOKUP(K274,【参考】数式用!$A$5:$AB$37,MATCH(P276,【参考】数式用!$B$4:$AB$4,0)+1,0),"")</f>
        <v/>
      </c>
      <c r="S276" s="1381" t="s">
        <v>161</v>
      </c>
      <c r="T276" s="1383"/>
      <c r="U276" s="1385" t="str">
        <f>IFERROR(VLOOKUP(K274,【参考】数式用!$A$5:$AB$37,MATCH(T276,【参考】数式用!$B$4:$AB$4,0)+1,0),"")</f>
        <v/>
      </c>
      <c r="V276" s="1387" t="s">
        <v>15</v>
      </c>
      <c r="W276" s="1389">
        <v>7</v>
      </c>
      <c r="X276" s="1363" t="s">
        <v>10</v>
      </c>
      <c r="Y276" s="1389">
        <v>4</v>
      </c>
      <c r="Z276" s="1363" t="s">
        <v>38</v>
      </c>
      <c r="AA276" s="1389">
        <v>8</v>
      </c>
      <c r="AB276" s="1363" t="s">
        <v>10</v>
      </c>
      <c r="AC276" s="1389">
        <v>3</v>
      </c>
      <c r="AD276" s="1363" t="s">
        <v>13</v>
      </c>
      <c r="AE276" s="1363" t="s">
        <v>20</v>
      </c>
      <c r="AF276" s="1363">
        <f>IF(W276&gt;=1,(AA276*12+AC276)-(W276*12+Y276)+1,"")</f>
        <v>12</v>
      </c>
      <c r="AG276" s="1359" t="s">
        <v>33</v>
      </c>
      <c r="AH276" s="1365" t="str">
        <f t="shared" ref="AH276" si="716">IFERROR(ROUNDDOWN(ROUND(L274*U276,0),0)*AF276,"")</f>
        <v/>
      </c>
      <c r="AI276" s="1367" t="str">
        <f t="shared" ref="AI276" si="717">IFERROR(ROUNDDOWN(ROUND((L274*(U276-AW274)),0),0)*AF276,"")</f>
        <v/>
      </c>
      <c r="AJ276" s="1369">
        <f>IFERROR(IF(OR(M274="",M275="",M277=""),0,ROUNDDOWN(ROUNDDOWN(ROUND(L274*VLOOKUP(K274,【参考】数式用!$A$5:$AB$37,MATCH("新加算Ⅳ",【参考】数式用!$B$4:$AB$4,0)+1,0),0),0)*AF276*0.5,0)),"")</f>
        <v>0</v>
      </c>
      <c r="AK276" s="1339" t="str">
        <f t="shared" ref="AK276" si="718">IF(T276&lt;&gt;"","新規に適用","")</f>
        <v/>
      </c>
      <c r="AL276" s="1343">
        <f>IFERROR(IF(OR(M277="ベア加算",M277=""),0, IF(OR(T274="新加算Ⅰ",T274="新加算Ⅱ",T274="新加算Ⅲ",T274="新加算Ⅳ"),0,ROUNDDOWN(ROUND(L274*VLOOKUP(K274,【参考】数式用!$A$5:$I$37,MATCH("ベア加算",【参考】数式用!$B$4:$I$4,0)+1,0),0),0)*AF276)),"")</f>
        <v>0</v>
      </c>
      <c r="AM276" s="1313" t="str">
        <f>IF(AND(T276&lt;&gt;"",AM274=""),"新規に適用",IF(AND(T276&lt;&gt;"",AM274&lt;&gt;""),"継続で適用",""))</f>
        <v/>
      </c>
      <c r="AN276" s="1313" t="str">
        <f>IF(AND(T276&lt;&gt;"",AN274=""),"新規に適用",IF(AND(T276&lt;&gt;"",AN274&lt;&gt;""),"継続で適用",""))</f>
        <v/>
      </c>
      <c r="AO276" s="1361"/>
      <c r="AP276" s="1313" t="str">
        <f>IF(AND(T276&lt;&gt;"",AP274=""),"新規に適用",IF(AND(T276&lt;&gt;"",AP274&lt;&gt;""),"継続で適用",""))</f>
        <v/>
      </c>
      <c r="AQ276" s="1317" t="str">
        <f t="shared" si="597"/>
        <v/>
      </c>
      <c r="AR276" s="1313" t="str">
        <f>IF(AND(T276&lt;&gt;"",AR274=""),"新規に適用",IF(AND(T276&lt;&gt;"",AR274&lt;&gt;""),"継続で適用",""))</f>
        <v/>
      </c>
      <c r="AS276" s="1302"/>
      <c r="AT276" s="554"/>
      <c r="AU276" s="1303" t="str">
        <f>IF(K274&lt;&gt;"","V列に色付け","")</f>
        <v/>
      </c>
      <c r="AV276" s="1304"/>
      <c r="AW276" s="1305"/>
      <c r="AX276"/>
      <c r="AY276"/>
      <c r="AZ276"/>
      <c r="BA276"/>
      <c r="BB276"/>
      <c r="BC276"/>
      <c r="BD276"/>
      <c r="BE276"/>
      <c r="BF276"/>
      <c r="BG276"/>
      <c r="BH276"/>
      <c r="BI276"/>
      <c r="BJ276"/>
      <c r="BK276" s="452" t="str">
        <f>G274</f>
        <v/>
      </c>
    </row>
    <row r="277" spans="1:63" ht="30" customHeight="1" thickBot="1">
      <c r="A277" s="1268"/>
      <c r="B277" s="1411"/>
      <c r="C277" s="1412"/>
      <c r="D277" s="1412"/>
      <c r="E277" s="1412"/>
      <c r="F277" s="1413"/>
      <c r="G277" s="1253"/>
      <c r="H277" s="1253"/>
      <c r="I277" s="1253"/>
      <c r="J277" s="1416"/>
      <c r="K277" s="1253"/>
      <c r="L277" s="1277"/>
      <c r="M277" s="553" t="str">
        <f>IF('別紙様式2-2（４・５月分）'!P211="","",'別紙様式2-2（４・５月分）'!P211)</f>
        <v/>
      </c>
      <c r="N277" s="1394"/>
      <c r="O277" s="1374"/>
      <c r="P277" s="1376"/>
      <c r="Q277" s="1378"/>
      <c r="R277" s="1380"/>
      <c r="S277" s="1382"/>
      <c r="T277" s="1384"/>
      <c r="U277" s="1386"/>
      <c r="V277" s="1388"/>
      <c r="W277" s="1390"/>
      <c r="X277" s="1364"/>
      <c r="Y277" s="1390"/>
      <c r="Z277" s="1364"/>
      <c r="AA277" s="1390"/>
      <c r="AB277" s="1364"/>
      <c r="AC277" s="1390"/>
      <c r="AD277" s="1364"/>
      <c r="AE277" s="1364"/>
      <c r="AF277" s="1364"/>
      <c r="AG277" s="1360"/>
      <c r="AH277" s="1366"/>
      <c r="AI277" s="1368"/>
      <c r="AJ277" s="1370"/>
      <c r="AK277" s="1340"/>
      <c r="AL277" s="1344"/>
      <c r="AM277" s="1314"/>
      <c r="AN277" s="1314"/>
      <c r="AO277" s="1362"/>
      <c r="AP277" s="1314"/>
      <c r="AQ277" s="1318"/>
      <c r="AR277" s="1314"/>
      <c r="AS277" s="490"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4"/>
      <c r="AU277" s="1303"/>
      <c r="AV277" s="555" t="str">
        <f>IF('別紙様式2-2（４・５月分）'!N211="","",'別紙様式2-2（４・５月分）'!N211)</f>
        <v/>
      </c>
      <c r="AW277" s="1305"/>
      <c r="AX277"/>
      <c r="AY277"/>
      <c r="AZ277"/>
      <c r="BA277"/>
      <c r="BB277"/>
      <c r="BC277"/>
      <c r="BD277"/>
      <c r="BE277"/>
      <c r="BF277"/>
      <c r="BG277"/>
      <c r="BH277"/>
      <c r="BI277"/>
      <c r="BJ277"/>
      <c r="BK277" s="452" t="str">
        <f>G274</f>
        <v/>
      </c>
    </row>
    <row r="278" spans="1:63" ht="30" customHeight="1">
      <c r="A278" s="1266">
        <v>67</v>
      </c>
      <c r="B278" s="1235" t="str">
        <f>IF(基本情報入力シート!C120="","",基本情報入力シート!C120)</f>
        <v/>
      </c>
      <c r="C278" s="1236"/>
      <c r="D278" s="1236"/>
      <c r="E278" s="1236"/>
      <c r="F278" s="1237"/>
      <c r="G278" s="1252" t="str">
        <f>IF(基本情報入力シート!M120="","",基本情報入力シート!M120)</f>
        <v/>
      </c>
      <c r="H278" s="1252" t="str">
        <f>IF(基本情報入力シート!R120="","",基本情報入力シート!R120)</f>
        <v/>
      </c>
      <c r="I278" s="1252" t="str">
        <f>IF(基本情報入力シート!W120="","",基本情報入力シート!W120)</f>
        <v/>
      </c>
      <c r="J278" s="1415" t="str">
        <f>IF(基本情報入力シート!X120="","",基本情報入力シート!X120)</f>
        <v/>
      </c>
      <c r="K278" s="1252" t="str">
        <f>IF(基本情報入力シート!Y120="","",基本情報入力シート!Y120)</f>
        <v/>
      </c>
      <c r="L278" s="1276" t="str">
        <f>IF(基本情報入力シート!AB120="","",基本情報入力シート!AB120)</f>
        <v/>
      </c>
      <c r="M278" s="550" t="str">
        <f>IF('別紙様式2-2（４・５月分）'!P212="","",'別紙様式2-2（４・５月分）'!P212)</f>
        <v/>
      </c>
      <c r="N278" s="1391" t="str">
        <f>IF(SUM('別紙様式2-2（４・５月分）'!Q212:Q214)=0,"",SUM('別紙様式2-2（４・５月分）'!Q212:Q214))</f>
        <v/>
      </c>
      <c r="O278" s="1395" t="str">
        <f>IFERROR(VLOOKUP('別紙様式2-2（４・５月分）'!AQ212,【参考】数式用!$AR$5:$AS$22,2,FALSE),"")</f>
        <v/>
      </c>
      <c r="P278" s="1396"/>
      <c r="Q278" s="1397"/>
      <c r="R278" s="1401" t="str">
        <f>IFERROR(VLOOKUP(K278,【参考】数式用!$A$5:$AB$37,MATCH(O278,【参考】数式用!$B$4:$AB$4,0)+1,0),"")</f>
        <v/>
      </c>
      <c r="S278" s="1403" t="s">
        <v>2021</v>
      </c>
      <c r="T278" s="1405"/>
      <c r="U278" s="1407" t="str">
        <f>IFERROR(VLOOKUP(K278,【参考】数式用!$A$5:$AB$37,MATCH(T278,【参考】数式用!$B$4:$AB$4,0)+1,0),"")</f>
        <v/>
      </c>
      <c r="V278" s="1409" t="s">
        <v>15</v>
      </c>
      <c r="W278" s="1347">
        <v>6</v>
      </c>
      <c r="X278" s="1349" t="s">
        <v>10</v>
      </c>
      <c r="Y278" s="1347">
        <v>6</v>
      </c>
      <c r="Z278" s="1349" t="s">
        <v>38</v>
      </c>
      <c r="AA278" s="1347">
        <v>7</v>
      </c>
      <c r="AB278" s="1349" t="s">
        <v>10</v>
      </c>
      <c r="AC278" s="1347">
        <v>3</v>
      </c>
      <c r="AD278" s="1349" t="s">
        <v>13</v>
      </c>
      <c r="AE278" s="1349" t="s">
        <v>20</v>
      </c>
      <c r="AF278" s="1349">
        <f>IF(W278&gt;=1,(AA278*12+AC278)-(W278*12+Y278)+1,"")</f>
        <v>10</v>
      </c>
      <c r="AG278" s="1351" t="s">
        <v>33</v>
      </c>
      <c r="AH278" s="1353" t="str">
        <f t="shared" ref="AH278" si="720">IFERROR(ROUNDDOWN(ROUND(L278*U278,0),0)*AF278,"")</f>
        <v/>
      </c>
      <c r="AI278" s="1355" t="str">
        <f t="shared" ref="AI278" si="721">IFERROR(ROUNDDOWN(ROUND((L278*(U278-AW278)),0),0)*AF278,"")</f>
        <v/>
      </c>
      <c r="AJ278" s="1357">
        <f>IFERROR(IF(OR(M278="",M279="",M281=""),0,ROUNDDOWN(ROUNDDOWN(ROUND(L278*VLOOKUP(K278,【参考】数式用!$A$5:$AB$37,MATCH("新加算Ⅳ",【参考】数式用!$B$4:$AB$4,0)+1,0),0),0)*AF278*0.5,0)),"")</f>
        <v>0</v>
      </c>
      <c r="AK278" s="1341"/>
      <c r="AL278" s="1345">
        <f>IFERROR(IF(OR(M281="ベア加算",M281=""),0, IF(OR(T278="新加算Ⅰ",T278="新加算Ⅱ",T278="新加算Ⅲ",T278="新加算Ⅳ"),ROUNDDOWN(ROUND(L278*VLOOKUP(K278,【参考】数式用!$A$5:$I$37,MATCH("ベア加算",【参考】数式用!$B$4:$I$4,0)+1,0),0),0)*AF278,0)),"")</f>
        <v>0</v>
      </c>
      <c r="AM278" s="1331"/>
      <c r="AN278" s="1337"/>
      <c r="AO278" s="1333"/>
      <c r="AP278" s="1333"/>
      <c r="AQ278" s="1335"/>
      <c r="AR278" s="1315"/>
      <c r="AS278" s="465" t="str">
        <f t="shared" ref="AS278" si="722">IF(AU278="","",IF(U278&lt;N278,"！加算の要件上は問題ありませんが、令和６年４・５月と比較して令和６年６月に加算率が下がる計画になっています。",""))</f>
        <v/>
      </c>
      <c r="AT278" s="554"/>
      <c r="AU278" s="1303" t="str">
        <f>IF(K278&lt;&gt;"","V列に色付け","")</f>
        <v/>
      </c>
      <c r="AV278" s="555" t="str">
        <f>IF('別紙様式2-2（４・５月分）'!N212="","",'別紙様式2-2（４・５月分）'!N212)</f>
        <v/>
      </c>
      <c r="AW278" s="1305" t="str">
        <f>IF(SUM('別紙様式2-2（４・５月分）'!O212:O214)=0,"",SUM('別紙様式2-2（４・５月分）'!O212:O214))</f>
        <v/>
      </c>
      <c r="AX278" s="1306" t="str">
        <f>IFERROR(VLOOKUP(K278,【参考】数式用!$AH$2:$AI$34,2,FALSE),"")</f>
        <v/>
      </c>
      <c r="AY278" s="1222" t="s">
        <v>1959</v>
      </c>
      <c r="AZ278" s="1222" t="s">
        <v>1960</v>
      </c>
      <c r="BA278" s="1222" t="s">
        <v>1961</v>
      </c>
      <c r="BB278" s="1222" t="s">
        <v>1962</v>
      </c>
      <c r="BC278" s="1222" t="str">
        <f>IF(AND(O278&lt;&gt;"新加算Ⅰ",O278&lt;&gt;"新加算Ⅱ",O278&lt;&gt;"新加算Ⅲ",O278&lt;&gt;"新加算Ⅳ"),O278,IF(P280&lt;&gt;"",P280,""))</f>
        <v/>
      </c>
      <c r="BD278" s="1222"/>
      <c r="BE278" s="1222" t="str">
        <f t="shared" ref="BE278" si="723">IF(AL278&lt;&gt;0,IF(AM278="○","入力済","未入力"),"")</f>
        <v/>
      </c>
      <c r="BF278" s="1222"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2" t="str">
        <f>IF(OR(T278="新加算Ⅴ（７）",T278="新加算Ⅴ（９）",T278="新加算Ⅴ（10）",T278="新加算Ⅴ（12）",T278="新加算Ⅴ（13）",T278="新加算Ⅴ（14）"),IF(OR(AO278="○",AO278="令和６年度中に満たす"),"入力済","未入力"),"")</f>
        <v/>
      </c>
      <c r="BH278" s="1323" t="str">
        <f t="shared" ref="BH278" si="724">IF(OR(T278="新加算Ⅰ",T278="新加算Ⅱ",T278="新加算Ⅲ",T278="新加算Ⅴ（１）",T278="新加算Ⅴ（３）",T278="新加算Ⅴ（８）"),IF(OR(AP278="○",AP278="令和６年度中に満たす"),"入力済","未入力"),"")</f>
        <v/>
      </c>
      <c r="BI278" s="1325" t="str">
        <f t="shared" ref="BI278" si="725">IF(OR(T278="新加算Ⅰ",T278="新加算Ⅱ",T278="新加算Ⅴ（１）",T278="新加算Ⅴ（２）",T278="新加算Ⅴ（３）",T278="新加算Ⅴ（４）",T278="新加算Ⅴ（５）",T278="新加算Ⅴ（６）",T278="新加算Ⅴ（７）",T278="新加算Ⅴ（９）",T278="新加算Ⅴ（10）",T278="新加算Ⅴ（12）"),1,"")</f>
        <v/>
      </c>
      <c r="BJ278" s="1303" t="str">
        <f>IF(OR(T278="新加算Ⅰ",T278="新加算Ⅴ（１）",T278="新加算Ⅴ（２）",T278="新加算Ⅴ（５）",T278="新加算Ⅴ（７）",T278="新加算Ⅴ（10）"),IF(AR278="","未入力","入力済"),"")</f>
        <v/>
      </c>
      <c r="BK278" s="452" t="str">
        <f>G278</f>
        <v/>
      </c>
    </row>
    <row r="279" spans="1:63" ht="15" customHeight="1">
      <c r="A279" s="1267"/>
      <c r="B279" s="1235"/>
      <c r="C279" s="1236"/>
      <c r="D279" s="1236"/>
      <c r="E279" s="1236"/>
      <c r="F279" s="1237"/>
      <c r="G279" s="1252"/>
      <c r="H279" s="1252"/>
      <c r="I279" s="1252"/>
      <c r="J279" s="1415"/>
      <c r="K279" s="1252"/>
      <c r="L279" s="1276"/>
      <c r="M279" s="1371" t="str">
        <f>IF('別紙様式2-2（４・５月分）'!P213="","",'別紙様式2-2（４・５月分）'!P213)</f>
        <v/>
      </c>
      <c r="N279" s="1392"/>
      <c r="O279" s="1398"/>
      <c r="P279" s="1399"/>
      <c r="Q279" s="1400"/>
      <c r="R279" s="1402"/>
      <c r="S279" s="1404"/>
      <c r="T279" s="1406"/>
      <c r="U279" s="1408"/>
      <c r="V279" s="1410"/>
      <c r="W279" s="1348"/>
      <c r="X279" s="1350"/>
      <c r="Y279" s="1348"/>
      <c r="Z279" s="1350"/>
      <c r="AA279" s="1348"/>
      <c r="AB279" s="1350"/>
      <c r="AC279" s="1348"/>
      <c r="AD279" s="1350"/>
      <c r="AE279" s="1350"/>
      <c r="AF279" s="1350"/>
      <c r="AG279" s="1352"/>
      <c r="AH279" s="1354"/>
      <c r="AI279" s="1356"/>
      <c r="AJ279" s="1358"/>
      <c r="AK279" s="1342"/>
      <c r="AL279" s="1346"/>
      <c r="AM279" s="1332"/>
      <c r="AN279" s="1338"/>
      <c r="AO279" s="1334"/>
      <c r="AP279" s="1334"/>
      <c r="AQ279" s="1336"/>
      <c r="AR279" s="1316"/>
      <c r="AS279" s="1302"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4"/>
      <c r="AU279" s="1303"/>
      <c r="AV279" s="1304" t="str">
        <f>IF('別紙様式2-2（４・５月分）'!N213="","",'別紙様式2-2（４・５月分）'!N213)</f>
        <v/>
      </c>
      <c r="AW279" s="1305"/>
      <c r="AX279" s="1306"/>
      <c r="AY279" s="1222"/>
      <c r="AZ279" s="1222"/>
      <c r="BA279" s="1222"/>
      <c r="BB279" s="1222"/>
      <c r="BC279" s="1222"/>
      <c r="BD279" s="1222"/>
      <c r="BE279" s="1222"/>
      <c r="BF279" s="1222"/>
      <c r="BG279" s="1222"/>
      <c r="BH279" s="1324"/>
      <c r="BI279" s="1326"/>
      <c r="BJ279" s="1303"/>
      <c r="BK279" s="452" t="str">
        <f>G278</f>
        <v/>
      </c>
    </row>
    <row r="280" spans="1:63" ht="15" customHeight="1">
      <c r="A280" s="1295"/>
      <c r="B280" s="1235"/>
      <c r="C280" s="1236"/>
      <c r="D280" s="1236"/>
      <c r="E280" s="1236"/>
      <c r="F280" s="1237"/>
      <c r="G280" s="1252"/>
      <c r="H280" s="1252"/>
      <c r="I280" s="1252"/>
      <c r="J280" s="1415"/>
      <c r="K280" s="1252"/>
      <c r="L280" s="1276"/>
      <c r="M280" s="1372"/>
      <c r="N280" s="1393"/>
      <c r="O280" s="1373" t="s">
        <v>2025</v>
      </c>
      <c r="P280" s="1375" t="str">
        <f>IFERROR(VLOOKUP('別紙様式2-2（４・５月分）'!AQ212,【参考】数式用!$AR$5:$AT$22,3,FALSE),"")</f>
        <v/>
      </c>
      <c r="Q280" s="1377" t="s">
        <v>2036</v>
      </c>
      <c r="R280" s="1379" t="str">
        <f>IFERROR(VLOOKUP(K278,【参考】数式用!$A$5:$AB$37,MATCH(P280,【参考】数式用!$B$4:$AB$4,0)+1,0),"")</f>
        <v/>
      </c>
      <c r="S280" s="1381" t="s">
        <v>161</v>
      </c>
      <c r="T280" s="1383"/>
      <c r="U280" s="1385" t="str">
        <f>IFERROR(VLOOKUP(K278,【参考】数式用!$A$5:$AB$37,MATCH(T280,【参考】数式用!$B$4:$AB$4,0)+1,0),"")</f>
        <v/>
      </c>
      <c r="V280" s="1387" t="s">
        <v>15</v>
      </c>
      <c r="W280" s="1389">
        <v>7</v>
      </c>
      <c r="X280" s="1363" t="s">
        <v>10</v>
      </c>
      <c r="Y280" s="1389">
        <v>4</v>
      </c>
      <c r="Z280" s="1363" t="s">
        <v>38</v>
      </c>
      <c r="AA280" s="1389">
        <v>8</v>
      </c>
      <c r="AB280" s="1363" t="s">
        <v>10</v>
      </c>
      <c r="AC280" s="1389">
        <v>3</v>
      </c>
      <c r="AD280" s="1363" t="s">
        <v>13</v>
      </c>
      <c r="AE280" s="1363" t="s">
        <v>20</v>
      </c>
      <c r="AF280" s="1363">
        <f>IF(W280&gt;=1,(AA280*12+AC280)-(W280*12+Y280)+1,"")</f>
        <v>12</v>
      </c>
      <c r="AG280" s="1359" t="s">
        <v>33</v>
      </c>
      <c r="AH280" s="1365" t="str">
        <f t="shared" ref="AH280" si="727">IFERROR(ROUNDDOWN(ROUND(L278*U280,0),0)*AF280,"")</f>
        <v/>
      </c>
      <c r="AI280" s="1367" t="str">
        <f t="shared" ref="AI280" si="728">IFERROR(ROUNDDOWN(ROUND((L278*(U280-AW278)),0),0)*AF280,"")</f>
        <v/>
      </c>
      <c r="AJ280" s="1369">
        <f>IFERROR(IF(OR(M278="",M279="",M281=""),0,ROUNDDOWN(ROUNDDOWN(ROUND(L278*VLOOKUP(K278,【参考】数式用!$A$5:$AB$37,MATCH("新加算Ⅳ",【参考】数式用!$B$4:$AB$4,0)+1,0),0),0)*AF280*0.5,0)),"")</f>
        <v>0</v>
      </c>
      <c r="AK280" s="1339" t="str">
        <f t="shared" ref="AK280" si="729">IF(T280&lt;&gt;"","新規に適用","")</f>
        <v/>
      </c>
      <c r="AL280" s="1343">
        <f>IFERROR(IF(OR(M281="ベア加算",M281=""),0, IF(OR(T278="新加算Ⅰ",T278="新加算Ⅱ",T278="新加算Ⅲ",T278="新加算Ⅳ"),0,ROUNDDOWN(ROUND(L278*VLOOKUP(K278,【参考】数式用!$A$5:$I$37,MATCH("ベア加算",【参考】数式用!$B$4:$I$4,0)+1,0),0),0)*AF280)),"")</f>
        <v>0</v>
      </c>
      <c r="AM280" s="1313" t="str">
        <f>IF(AND(T280&lt;&gt;"",AM278=""),"新規に適用",IF(AND(T280&lt;&gt;"",AM278&lt;&gt;""),"継続で適用",""))</f>
        <v/>
      </c>
      <c r="AN280" s="1313" t="str">
        <f>IF(AND(T280&lt;&gt;"",AN278=""),"新規に適用",IF(AND(T280&lt;&gt;"",AN278&lt;&gt;""),"継続で適用",""))</f>
        <v/>
      </c>
      <c r="AO280" s="1361"/>
      <c r="AP280" s="1313" t="str">
        <f>IF(AND(T280&lt;&gt;"",AP278=""),"新規に適用",IF(AND(T280&lt;&gt;"",AP278&lt;&gt;""),"継続で適用",""))</f>
        <v/>
      </c>
      <c r="AQ280" s="1317" t="str">
        <f t="shared" si="597"/>
        <v/>
      </c>
      <c r="AR280" s="1313" t="str">
        <f>IF(AND(T280&lt;&gt;"",AR278=""),"新規に適用",IF(AND(T280&lt;&gt;"",AR278&lt;&gt;""),"継続で適用",""))</f>
        <v/>
      </c>
      <c r="AS280" s="1302"/>
      <c r="AT280" s="554"/>
      <c r="AU280" s="1303" t="str">
        <f>IF(K278&lt;&gt;"","V列に色付け","")</f>
        <v/>
      </c>
      <c r="AV280" s="1304"/>
      <c r="AW280" s="1305"/>
      <c r="AX280"/>
      <c r="AY280"/>
      <c r="AZ280"/>
      <c r="BA280"/>
      <c r="BB280"/>
      <c r="BC280"/>
      <c r="BD280"/>
      <c r="BE280"/>
      <c r="BF280"/>
      <c r="BG280"/>
      <c r="BH280"/>
      <c r="BI280"/>
      <c r="BJ280"/>
      <c r="BK280" s="452" t="str">
        <f>G278</f>
        <v/>
      </c>
    </row>
    <row r="281" spans="1:63" ht="30" customHeight="1" thickBot="1">
      <c r="A281" s="1268"/>
      <c r="B281" s="1411"/>
      <c r="C281" s="1412"/>
      <c r="D281" s="1412"/>
      <c r="E281" s="1412"/>
      <c r="F281" s="1413"/>
      <c r="G281" s="1253"/>
      <c r="H281" s="1253"/>
      <c r="I281" s="1253"/>
      <c r="J281" s="1416"/>
      <c r="K281" s="1253"/>
      <c r="L281" s="1277"/>
      <c r="M281" s="553" t="str">
        <f>IF('別紙様式2-2（４・５月分）'!P214="","",'別紙様式2-2（４・５月分）'!P214)</f>
        <v/>
      </c>
      <c r="N281" s="1394"/>
      <c r="O281" s="1374"/>
      <c r="P281" s="1376"/>
      <c r="Q281" s="1378"/>
      <c r="R281" s="1380"/>
      <c r="S281" s="1382"/>
      <c r="T281" s="1384"/>
      <c r="U281" s="1386"/>
      <c r="V281" s="1388"/>
      <c r="W281" s="1390"/>
      <c r="X281" s="1364"/>
      <c r="Y281" s="1390"/>
      <c r="Z281" s="1364"/>
      <c r="AA281" s="1390"/>
      <c r="AB281" s="1364"/>
      <c r="AC281" s="1390"/>
      <c r="AD281" s="1364"/>
      <c r="AE281" s="1364"/>
      <c r="AF281" s="1364"/>
      <c r="AG281" s="1360"/>
      <c r="AH281" s="1366"/>
      <c r="AI281" s="1368"/>
      <c r="AJ281" s="1370"/>
      <c r="AK281" s="1340"/>
      <c r="AL281" s="1344"/>
      <c r="AM281" s="1314"/>
      <c r="AN281" s="1314"/>
      <c r="AO281" s="1362"/>
      <c r="AP281" s="1314"/>
      <c r="AQ281" s="1318"/>
      <c r="AR281" s="1314"/>
      <c r="AS281" s="490"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4"/>
      <c r="AU281" s="1303"/>
      <c r="AV281" s="555" t="str">
        <f>IF('別紙様式2-2（４・５月分）'!N214="","",'別紙様式2-2（４・５月分）'!N214)</f>
        <v/>
      </c>
      <c r="AW281" s="1305"/>
      <c r="AX281"/>
      <c r="AY281"/>
      <c r="AZ281"/>
      <c r="BA281"/>
      <c r="BB281"/>
      <c r="BC281"/>
      <c r="BD281"/>
      <c r="BE281"/>
      <c r="BF281"/>
      <c r="BG281"/>
      <c r="BH281"/>
      <c r="BI281"/>
      <c r="BJ281"/>
      <c r="BK281" s="452" t="str">
        <f>G278</f>
        <v/>
      </c>
    </row>
    <row r="282" spans="1:63" ht="30" customHeight="1">
      <c r="A282" s="1293">
        <v>68</v>
      </c>
      <c r="B282" s="1232" t="str">
        <f>IF(基本情報入力シート!C121="","",基本情報入力シート!C121)</f>
        <v/>
      </c>
      <c r="C282" s="1233"/>
      <c r="D282" s="1233"/>
      <c r="E282" s="1233"/>
      <c r="F282" s="1234"/>
      <c r="G282" s="1251" t="str">
        <f>IF(基本情報入力シート!M121="","",基本情報入力シート!M121)</f>
        <v/>
      </c>
      <c r="H282" s="1251" t="str">
        <f>IF(基本情報入力シート!R121="","",基本情報入力シート!R121)</f>
        <v/>
      </c>
      <c r="I282" s="1251" t="str">
        <f>IF(基本情報入力シート!W121="","",基本情報入力シート!W121)</f>
        <v/>
      </c>
      <c r="J282" s="1414" t="str">
        <f>IF(基本情報入力シート!X121="","",基本情報入力シート!X121)</f>
        <v/>
      </c>
      <c r="K282" s="1251" t="str">
        <f>IF(基本情報入力シート!Y121="","",基本情報入力シート!Y121)</f>
        <v/>
      </c>
      <c r="L282" s="1275" t="str">
        <f>IF(基本情報入力シート!AB121="","",基本情報入力シート!AB121)</f>
        <v/>
      </c>
      <c r="M282" s="550" t="str">
        <f>IF('別紙様式2-2（４・５月分）'!P215="","",'別紙様式2-2（４・５月分）'!P215)</f>
        <v/>
      </c>
      <c r="N282" s="1391" t="str">
        <f>IF(SUM('別紙様式2-2（４・５月分）'!Q215:Q217)=0,"",SUM('別紙様式2-2（４・５月分）'!Q215:Q217))</f>
        <v/>
      </c>
      <c r="O282" s="1395" t="str">
        <f>IFERROR(VLOOKUP('別紙様式2-2（４・５月分）'!AQ215,【参考】数式用!$AR$5:$AS$22,2,FALSE),"")</f>
        <v/>
      </c>
      <c r="P282" s="1396"/>
      <c r="Q282" s="1397"/>
      <c r="R282" s="1401" t="str">
        <f>IFERROR(VLOOKUP(K282,【参考】数式用!$A$5:$AB$37,MATCH(O282,【参考】数式用!$B$4:$AB$4,0)+1,0),"")</f>
        <v/>
      </c>
      <c r="S282" s="1403" t="s">
        <v>2021</v>
      </c>
      <c r="T282" s="1405"/>
      <c r="U282" s="1407" t="str">
        <f>IFERROR(VLOOKUP(K282,【参考】数式用!$A$5:$AB$37,MATCH(T282,【参考】数式用!$B$4:$AB$4,0)+1,0),"")</f>
        <v/>
      </c>
      <c r="V282" s="1409" t="s">
        <v>15</v>
      </c>
      <c r="W282" s="1347">
        <v>6</v>
      </c>
      <c r="X282" s="1349" t="s">
        <v>10</v>
      </c>
      <c r="Y282" s="1347">
        <v>6</v>
      </c>
      <c r="Z282" s="1349" t="s">
        <v>38</v>
      </c>
      <c r="AA282" s="1347">
        <v>7</v>
      </c>
      <c r="AB282" s="1349" t="s">
        <v>10</v>
      </c>
      <c r="AC282" s="1347">
        <v>3</v>
      </c>
      <c r="AD282" s="1349" t="s">
        <v>13</v>
      </c>
      <c r="AE282" s="1349" t="s">
        <v>20</v>
      </c>
      <c r="AF282" s="1349">
        <f>IF(W282&gt;=1,(AA282*12+AC282)-(W282*12+Y282)+1,"")</f>
        <v>10</v>
      </c>
      <c r="AG282" s="1351" t="s">
        <v>33</v>
      </c>
      <c r="AH282" s="1353" t="str">
        <f t="shared" ref="AH282" si="731">IFERROR(ROUNDDOWN(ROUND(L282*U282,0),0)*AF282,"")</f>
        <v/>
      </c>
      <c r="AI282" s="1355" t="str">
        <f t="shared" ref="AI282" si="732">IFERROR(ROUNDDOWN(ROUND((L282*(U282-AW282)),0),0)*AF282,"")</f>
        <v/>
      </c>
      <c r="AJ282" s="1357">
        <f>IFERROR(IF(OR(M282="",M283="",M285=""),0,ROUNDDOWN(ROUNDDOWN(ROUND(L282*VLOOKUP(K282,【参考】数式用!$A$5:$AB$37,MATCH("新加算Ⅳ",【参考】数式用!$B$4:$AB$4,0)+1,0),0),0)*AF282*0.5,0)),"")</f>
        <v>0</v>
      </c>
      <c r="AK282" s="1341"/>
      <c r="AL282" s="1345">
        <f>IFERROR(IF(OR(M285="ベア加算",M285=""),0, IF(OR(T282="新加算Ⅰ",T282="新加算Ⅱ",T282="新加算Ⅲ",T282="新加算Ⅳ"),ROUNDDOWN(ROUND(L282*VLOOKUP(K282,【参考】数式用!$A$5:$I$37,MATCH("ベア加算",【参考】数式用!$B$4:$I$4,0)+1,0),0),0)*AF282,0)),"")</f>
        <v>0</v>
      </c>
      <c r="AM282" s="1331"/>
      <c r="AN282" s="1337"/>
      <c r="AO282" s="1333"/>
      <c r="AP282" s="1333"/>
      <c r="AQ282" s="1335"/>
      <c r="AR282" s="1315"/>
      <c r="AS282" s="465" t="str">
        <f t="shared" ref="AS282" si="733">IF(AU282="","",IF(U282&lt;N282,"！加算の要件上は問題ありませんが、令和６年４・５月と比較して令和６年６月に加算率が下がる計画になっています。",""))</f>
        <v/>
      </c>
      <c r="AT282" s="554"/>
      <c r="AU282" s="1303" t="str">
        <f>IF(K282&lt;&gt;"","V列に色付け","")</f>
        <v/>
      </c>
      <c r="AV282" s="555" t="str">
        <f>IF('別紙様式2-2（４・５月分）'!N215="","",'別紙様式2-2（４・５月分）'!N215)</f>
        <v/>
      </c>
      <c r="AW282" s="1305" t="str">
        <f>IF(SUM('別紙様式2-2（４・５月分）'!O215:O217)=0,"",SUM('別紙様式2-2（４・５月分）'!O215:O217))</f>
        <v/>
      </c>
      <c r="AX282" s="1306" t="str">
        <f>IFERROR(VLOOKUP(K282,【参考】数式用!$AH$2:$AI$34,2,FALSE),"")</f>
        <v/>
      </c>
      <c r="AY282" s="1222" t="s">
        <v>1959</v>
      </c>
      <c r="AZ282" s="1222" t="s">
        <v>1960</v>
      </c>
      <c r="BA282" s="1222" t="s">
        <v>1961</v>
      </c>
      <c r="BB282" s="1222" t="s">
        <v>1962</v>
      </c>
      <c r="BC282" s="1222" t="str">
        <f>IF(AND(O282&lt;&gt;"新加算Ⅰ",O282&lt;&gt;"新加算Ⅱ",O282&lt;&gt;"新加算Ⅲ",O282&lt;&gt;"新加算Ⅳ"),O282,IF(P284&lt;&gt;"",P284,""))</f>
        <v/>
      </c>
      <c r="BD282" s="1222"/>
      <c r="BE282" s="1222" t="str">
        <f t="shared" ref="BE282" si="734">IF(AL282&lt;&gt;0,IF(AM282="○","入力済","未入力"),"")</f>
        <v/>
      </c>
      <c r="BF282" s="1222"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2" t="str">
        <f>IF(OR(T282="新加算Ⅴ（７）",T282="新加算Ⅴ（９）",T282="新加算Ⅴ（10）",T282="新加算Ⅴ（12）",T282="新加算Ⅴ（13）",T282="新加算Ⅴ（14）"),IF(OR(AO282="○",AO282="令和６年度中に満たす"),"入力済","未入力"),"")</f>
        <v/>
      </c>
      <c r="BH282" s="1323" t="str">
        <f t="shared" ref="BH282" si="735">IF(OR(T282="新加算Ⅰ",T282="新加算Ⅱ",T282="新加算Ⅲ",T282="新加算Ⅴ（１）",T282="新加算Ⅴ（３）",T282="新加算Ⅴ（８）"),IF(OR(AP282="○",AP282="令和６年度中に満たす"),"入力済","未入力"),"")</f>
        <v/>
      </c>
      <c r="BI282" s="1325" t="str">
        <f t="shared" ref="BI282" si="736">IF(OR(T282="新加算Ⅰ",T282="新加算Ⅱ",T282="新加算Ⅴ（１）",T282="新加算Ⅴ（２）",T282="新加算Ⅴ（３）",T282="新加算Ⅴ（４）",T282="新加算Ⅴ（５）",T282="新加算Ⅴ（６）",T282="新加算Ⅴ（７）",T282="新加算Ⅴ（９）",T282="新加算Ⅴ（10）",T282="新加算Ⅴ（12）"),1,"")</f>
        <v/>
      </c>
      <c r="BJ282" s="1303" t="str">
        <f>IF(OR(T282="新加算Ⅰ",T282="新加算Ⅴ（１）",T282="新加算Ⅴ（２）",T282="新加算Ⅴ（５）",T282="新加算Ⅴ（７）",T282="新加算Ⅴ（10）"),IF(AR282="","未入力","入力済"),"")</f>
        <v/>
      </c>
      <c r="BK282" s="452" t="str">
        <f>G282</f>
        <v/>
      </c>
    </row>
    <row r="283" spans="1:63" ht="15" customHeight="1">
      <c r="A283" s="1267"/>
      <c r="B283" s="1235"/>
      <c r="C283" s="1236"/>
      <c r="D283" s="1236"/>
      <c r="E283" s="1236"/>
      <c r="F283" s="1237"/>
      <c r="G283" s="1252"/>
      <c r="H283" s="1252"/>
      <c r="I283" s="1252"/>
      <c r="J283" s="1415"/>
      <c r="K283" s="1252"/>
      <c r="L283" s="1276"/>
      <c r="M283" s="1371" t="str">
        <f>IF('別紙様式2-2（４・５月分）'!P216="","",'別紙様式2-2（４・５月分）'!P216)</f>
        <v/>
      </c>
      <c r="N283" s="1392"/>
      <c r="O283" s="1398"/>
      <c r="P283" s="1399"/>
      <c r="Q283" s="1400"/>
      <c r="R283" s="1402"/>
      <c r="S283" s="1404"/>
      <c r="T283" s="1406"/>
      <c r="U283" s="1408"/>
      <c r="V283" s="1410"/>
      <c r="W283" s="1348"/>
      <c r="X283" s="1350"/>
      <c r="Y283" s="1348"/>
      <c r="Z283" s="1350"/>
      <c r="AA283" s="1348"/>
      <c r="AB283" s="1350"/>
      <c r="AC283" s="1348"/>
      <c r="AD283" s="1350"/>
      <c r="AE283" s="1350"/>
      <c r="AF283" s="1350"/>
      <c r="AG283" s="1352"/>
      <c r="AH283" s="1354"/>
      <c r="AI283" s="1356"/>
      <c r="AJ283" s="1358"/>
      <c r="AK283" s="1342"/>
      <c r="AL283" s="1346"/>
      <c r="AM283" s="1332"/>
      <c r="AN283" s="1338"/>
      <c r="AO283" s="1334"/>
      <c r="AP283" s="1334"/>
      <c r="AQ283" s="1336"/>
      <c r="AR283" s="1316"/>
      <c r="AS283" s="1302"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4"/>
      <c r="AU283" s="1303"/>
      <c r="AV283" s="1304" t="str">
        <f>IF('別紙様式2-2（４・５月分）'!N216="","",'別紙様式2-2（４・５月分）'!N216)</f>
        <v/>
      </c>
      <c r="AW283" s="1305"/>
      <c r="AX283" s="1306"/>
      <c r="AY283" s="1222"/>
      <c r="AZ283" s="1222"/>
      <c r="BA283" s="1222"/>
      <c r="BB283" s="1222"/>
      <c r="BC283" s="1222"/>
      <c r="BD283" s="1222"/>
      <c r="BE283" s="1222"/>
      <c r="BF283" s="1222"/>
      <c r="BG283" s="1222"/>
      <c r="BH283" s="1324"/>
      <c r="BI283" s="1326"/>
      <c r="BJ283" s="1303"/>
      <c r="BK283" s="452" t="str">
        <f>G282</f>
        <v/>
      </c>
    </row>
    <row r="284" spans="1:63" ht="15" customHeight="1">
      <c r="A284" s="1295"/>
      <c r="B284" s="1235"/>
      <c r="C284" s="1236"/>
      <c r="D284" s="1236"/>
      <c r="E284" s="1236"/>
      <c r="F284" s="1237"/>
      <c r="G284" s="1252"/>
      <c r="H284" s="1252"/>
      <c r="I284" s="1252"/>
      <c r="J284" s="1415"/>
      <c r="K284" s="1252"/>
      <c r="L284" s="1276"/>
      <c r="M284" s="1372"/>
      <c r="N284" s="1393"/>
      <c r="O284" s="1373" t="s">
        <v>2025</v>
      </c>
      <c r="P284" s="1375" t="str">
        <f>IFERROR(VLOOKUP('別紙様式2-2（４・５月分）'!AQ215,【参考】数式用!$AR$5:$AT$22,3,FALSE),"")</f>
        <v/>
      </c>
      <c r="Q284" s="1377" t="s">
        <v>2036</v>
      </c>
      <c r="R284" s="1379" t="str">
        <f>IFERROR(VLOOKUP(K282,【参考】数式用!$A$5:$AB$37,MATCH(P284,【参考】数式用!$B$4:$AB$4,0)+1,0),"")</f>
        <v/>
      </c>
      <c r="S284" s="1381" t="s">
        <v>161</v>
      </c>
      <c r="T284" s="1383"/>
      <c r="U284" s="1385" t="str">
        <f>IFERROR(VLOOKUP(K282,【参考】数式用!$A$5:$AB$37,MATCH(T284,【参考】数式用!$B$4:$AB$4,0)+1,0),"")</f>
        <v/>
      </c>
      <c r="V284" s="1387" t="s">
        <v>15</v>
      </c>
      <c r="W284" s="1389">
        <v>7</v>
      </c>
      <c r="X284" s="1363" t="s">
        <v>10</v>
      </c>
      <c r="Y284" s="1389">
        <v>4</v>
      </c>
      <c r="Z284" s="1363" t="s">
        <v>38</v>
      </c>
      <c r="AA284" s="1389">
        <v>8</v>
      </c>
      <c r="AB284" s="1363" t="s">
        <v>10</v>
      </c>
      <c r="AC284" s="1389">
        <v>3</v>
      </c>
      <c r="AD284" s="1363" t="s">
        <v>13</v>
      </c>
      <c r="AE284" s="1363" t="s">
        <v>20</v>
      </c>
      <c r="AF284" s="1363">
        <f>IF(W284&gt;=1,(AA284*12+AC284)-(W284*12+Y284)+1,"")</f>
        <v>12</v>
      </c>
      <c r="AG284" s="1359" t="s">
        <v>33</v>
      </c>
      <c r="AH284" s="1365" t="str">
        <f t="shared" ref="AH284" si="738">IFERROR(ROUNDDOWN(ROUND(L282*U284,0),0)*AF284,"")</f>
        <v/>
      </c>
      <c r="AI284" s="1367" t="str">
        <f t="shared" ref="AI284" si="739">IFERROR(ROUNDDOWN(ROUND((L282*(U284-AW282)),0),0)*AF284,"")</f>
        <v/>
      </c>
      <c r="AJ284" s="1369">
        <f>IFERROR(IF(OR(M282="",M283="",M285=""),0,ROUNDDOWN(ROUNDDOWN(ROUND(L282*VLOOKUP(K282,【参考】数式用!$A$5:$AB$37,MATCH("新加算Ⅳ",【参考】数式用!$B$4:$AB$4,0)+1,0),0),0)*AF284*0.5,0)),"")</f>
        <v>0</v>
      </c>
      <c r="AK284" s="1339" t="str">
        <f t="shared" ref="AK284" si="740">IF(T284&lt;&gt;"","新規に適用","")</f>
        <v/>
      </c>
      <c r="AL284" s="1343">
        <f>IFERROR(IF(OR(M285="ベア加算",M285=""),0, IF(OR(T282="新加算Ⅰ",T282="新加算Ⅱ",T282="新加算Ⅲ",T282="新加算Ⅳ"),0,ROUNDDOWN(ROUND(L282*VLOOKUP(K282,【参考】数式用!$A$5:$I$37,MATCH("ベア加算",【参考】数式用!$B$4:$I$4,0)+1,0),0),0)*AF284)),"")</f>
        <v>0</v>
      </c>
      <c r="AM284" s="1313" t="str">
        <f>IF(AND(T284&lt;&gt;"",AM282=""),"新規に適用",IF(AND(T284&lt;&gt;"",AM282&lt;&gt;""),"継続で適用",""))</f>
        <v/>
      </c>
      <c r="AN284" s="1313" t="str">
        <f>IF(AND(T284&lt;&gt;"",AN282=""),"新規に適用",IF(AND(T284&lt;&gt;"",AN282&lt;&gt;""),"継続で適用",""))</f>
        <v/>
      </c>
      <c r="AO284" s="1361"/>
      <c r="AP284" s="1313" t="str">
        <f>IF(AND(T284&lt;&gt;"",AP282=""),"新規に適用",IF(AND(T284&lt;&gt;"",AP282&lt;&gt;""),"継続で適用",""))</f>
        <v/>
      </c>
      <c r="AQ284" s="1317" t="str">
        <f t="shared" si="597"/>
        <v/>
      </c>
      <c r="AR284" s="1313" t="str">
        <f>IF(AND(T284&lt;&gt;"",AR282=""),"新規に適用",IF(AND(T284&lt;&gt;"",AR282&lt;&gt;""),"継続で適用",""))</f>
        <v/>
      </c>
      <c r="AS284" s="1302"/>
      <c r="AT284" s="554"/>
      <c r="AU284" s="1303" t="str">
        <f>IF(K282&lt;&gt;"","V列に色付け","")</f>
        <v/>
      </c>
      <c r="AV284" s="1304"/>
      <c r="AW284" s="1305"/>
      <c r="AX284"/>
      <c r="AY284"/>
      <c r="AZ284"/>
      <c r="BA284"/>
      <c r="BB284"/>
      <c r="BC284"/>
      <c r="BD284"/>
      <c r="BE284"/>
      <c r="BF284"/>
      <c r="BG284"/>
      <c r="BH284"/>
      <c r="BI284"/>
      <c r="BJ284"/>
      <c r="BK284" s="452" t="str">
        <f>G282</f>
        <v/>
      </c>
    </row>
    <row r="285" spans="1:63" ht="30" customHeight="1" thickBot="1">
      <c r="A285" s="1268"/>
      <c r="B285" s="1411"/>
      <c r="C285" s="1412"/>
      <c r="D285" s="1412"/>
      <c r="E285" s="1412"/>
      <c r="F285" s="1413"/>
      <c r="G285" s="1253"/>
      <c r="H285" s="1253"/>
      <c r="I285" s="1253"/>
      <c r="J285" s="1416"/>
      <c r="K285" s="1253"/>
      <c r="L285" s="1277"/>
      <c r="M285" s="553" t="str">
        <f>IF('別紙様式2-2（４・５月分）'!P217="","",'別紙様式2-2（４・５月分）'!P217)</f>
        <v/>
      </c>
      <c r="N285" s="1394"/>
      <c r="O285" s="1374"/>
      <c r="P285" s="1376"/>
      <c r="Q285" s="1378"/>
      <c r="R285" s="1380"/>
      <c r="S285" s="1382"/>
      <c r="T285" s="1384"/>
      <c r="U285" s="1386"/>
      <c r="V285" s="1388"/>
      <c r="W285" s="1390"/>
      <c r="X285" s="1364"/>
      <c r="Y285" s="1390"/>
      <c r="Z285" s="1364"/>
      <c r="AA285" s="1390"/>
      <c r="AB285" s="1364"/>
      <c r="AC285" s="1390"/>
      <c r="AD285" s="1364"/>
      <c r="AE285" s="1364"/>
      <c r="AF285" s="1364"/>
      <c r="AG285" s="1360"/>
      <c r="AH285" s="1366"/>
      <c r="AI285" s="1368"/>
      <c r="AJ285" s="1370"/>
      <c r="AK285" s="1340"/>
      <c r="AL285" s="1344"/>
      <c r="AM285" s="1314"/>
      <c r="AN285" s="1314"/>
      <c r="AO285" s="1362"/>
      <c r="AP285" s="1314"/>
      <c r="AQ285" s="1318"/>
      <c r="AR285" s="1314"/>
      <c r="AS285" s="490"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4"/>
      <c r="AU285" s="1303"/>
      <c r="AV285" s="555" t="str">
        <f>IF('別紙様式2-2（４・５月分）'!N217="","",'別紙様式2-2（４・５月分）'!N217)</f>
        <v/>
      </c>
      <c r="AW285" s="1305"/>
      <c r="AX285"/>
      <c r="AY285"/>
      <c r="AZ285"/>
      <c r="BA285"/>
      <c r="BB285"/>
      <c r="BC285"/>
      <c r="BD285"/>
      <c r="BE285"/>
      <c r="BF285"/>
      <c r="BG285"/>
      <c r="BH285"/>
      <c r="BI285"/>
      <c r="BJ285"/>
      <c r="BK285" s="452" t="str">
        <f>G282</f>
        <v/>
      </c>
    </row>
    <row r="286" spans="1:63" ht="30" customHeight="1">
      <c r="A286" s="1266">
        <v>69</v>
      </c>
      <c r="B286" s="1235" t="str">
        <f>IF(基本情報入力シート!C122="","",基本情報入力シート!C122)</f>
        <v/>
      </c>
      <c r="C286" s="1236"/>
      <c r="D286" s="1236"/>
      <c r="E286" s="1236"/>
      <c r="F286" s="1237"/>
      <c r="G286" s="1252" t="str">
        <f>IF(基本情報入力シート!M122="","",基本情報入力シート!M122)</f>
        <v/>
      </c>
      <c r="H286" s="1252" t="str">
        <f>IF(基本情報入力シート!R122="","",基本情報入力シート!R122)</f>
        <v/>
      </c>
      <c r="I286" s="1252" t="str">
        <f>IF(基本情報入力シート!W122="","",基本情報入力シート!W122)</f>
        <v/>
      </c>
      <c r="J286" s="1415" t="str">
        <f>IF(基本情報入力シート!X122="","",基本情報入力シート!X122)</f>
        <v/>
      </c>
      <c r="K286" s="1252" t="str">
        <f>IF(基本情報入力シート!Y122="","",基本情報入力シート!Y122)</f>
        <v/>
      </c>
      <c r="L286" s="1276" t="str">
        <f>IF(基本情報入力シート!AB122="","",基本情報入力シート!AB122)</f>
        <v/>
      </c>
      <c r="M286" s="550" t="str">
        <f>IF('別紙様式2-2（４・５月分）'!P218="","",'別紙様式2-2（４・５月分）'!P218)</f>
        <v/>
      </c>
      <c r="N286" s="1391" t="str">
        <f>IF(SUM('別紙様式2-2（４・５月分）'!Q218:Q220)=0,"",SUM('別紙様式2-2（４・５月分）'!Q218:Q220))</f>
        <v/>
      </c>
      <c r="O286" s="1395" t="str">
        <f>IFERROR(VLOOKUP('別紙様式2-2（４・５月分）'!AQ218,【参考】数式用!$AR$5:$AS$22,2,FALSE),"")</f>
        <v/>
      </c>
      <c r="P286" s="1396"/>
      <c r="Q286" s="1397"/>
      <c r="R286" s="1401" t="str">
        <f>IFERROR(VLOOKUP(K286,【参考】数式用!$A$5:$AB$37,MATCH(O286,【参考】数式用!$B$4:$AB$4,0)+1,0),"")</f>
        <v/>
      </c>
      <c r="S286" s="1403" t="s">
        <v>2021</v>
      </c>
      <c r="T286" s="1405"/>
      <c r="U286" s="1407" t="str">
        <f>IFERROR(VLOOKUP(K286,【参考】数式用!$A$5:$AB$37,MATCH(T286,【参考】数式用!$B$4:$AB$4,0)+1,0),"")</f>
        <v/>
      </c>
      <c r="V286" s="1409" t="s">
        <v>15</v>
      </c>
      <c r="W286" s="1347">
        <v>6</v>
      </c>
      <c r="X286" s="1349" t="s">
        <v>10</v>
      </c>
      <c r="Y286" s="1347">
        <v>6</v>
      </c>
      <c r="Z286" s="1349" t="s">
        <v>38</v>
      </c>
      <c r="AA286" s="1347">
        <v>7</v>
      </c>
      <c r="AB286" s="1349" t="s">
        <v>10</v>
      </c>
      <c r="AC286" s="1347">
        <v>3</v>
      </c>
      <c r="AD286" s="1349" t="s">
        <v>13</v>
      </c>
      <c r="AE286" s="1349" t="s">
        <v>20</v>
      </c>
      <c r="AF286" s="1349">
        <f>IF(W286&gt;=1,(AA286*12+AC286)-(W286*12+Y286)+1,"")</f>
        <v>10</v>
      </c>
      <c r="AG286" s="1351" t="s">
        <v>33</v>
      </c>
      <c r="AH286" s="1353" t="str">
        <f t="shared" ref="AH286" si="742">IFERROR(ROUNDDOWN(ROUND(L286*U286,0),0)*AF286,"")</f>
        <v/>
      </c>
      <c r="AI286" s="1355" t="str">
        <f t="shared" ref="AI286" si="743">IFERROR(ROUNDDOWN(ROUND((L286*(U286-AW286)),0),0)*AF286,"")</f>
        <v/>
      </c>
      <c r="AJ286" s="1357">
        <f>IFERROR(IF(OR(M286="",M287="",M289=""),0,ROUNDDOWN(ROUNDDOWN(ROUND(L286*VLOOKUP(K286,【参考】数式用!$A$5:$AB$37,MATCH("新加算Ⅳ",【参考】数式用!$B$4:$AB$4,0)+1,0),0),0)*AF286*0.5,0)),"")</f>
        <v>0</v>
      </c>
      <c r="AK286" s="1341"/>
      <c r="AL286" s="1345">
        <f>IFERROR(IF(OR(M289="ベア加算",M289=""),0, IF(OR(T286="新加算Ⅰ",T286="新加算Ⅱ",T286="新加算Ⅲ",T286="新加算Ⅳ"),ROUNDDOWN(ROUND(L286*VLOOKUP(K286,【参考】数式用!$A$5:$I$37,MATCH("ベア加算",【参考】数式用!$B$4:$I$4,0)+1,0),0),0)*AF286,0)),"")</f>
        <v>0</v>
      </c>
      <c r="AM286" s="1331"/>
      <c r="AN286" s="1337"/>
      <c r="AO286" s="1333"/>
      <c r="AP286" s="1333"/>
      <c r="AQ286" s="1335"/>
      <c r="AR286" s="1315"/>
      <c r="AS286" s="465" t="str">
        <f t="shared" ref="AS286" si="744">IF(AU286="","",IF(U286&lt;N286,"！加算の要件上は問題ありませんが、令和６年４・５月と比較して令和６年６月に加算率が下がる計画になっています。",""))</f>
        <v/>
      </c>
      <c r="AT286" s="554"/>
      <c r="AU286" s="1303" t="str">
        <f>IF(K286&lt;&gt;"","V列に色付け","")</f>
        <v/>
      </c>
      <c r="AV286" s="555" t="str">
        <f>IF('別紙様式2-2（４・５月分）'!N218="","",'別紙様式2-2（４・５月分）'!N218)</f>
        <v/>
      </c>
      <c r="AW286" s="1305" t="str">
        <f>IF(SUM('別紙様式2-2（４・５月分）'!O218:O220)=0,"",SUM('別紙様式2-2（４・５月分）'!O218:O220))</f>
        <v/>
      </c>
      <c r="AX286" s="1306" t="str">
        <f>IFERROR(VLOOKUP(K286,【参考】数式用!$AH$2:$AI$34,2,FALSE),"")</f>
        <v/>
      </c>
      <c r="AY286" s="1222" t="s">
        <v>1959</v>
      </c>
      <c r="AZ286" s="1222" t="s">
        <v>1960</v>
      </c>
      <c r="BA286" s="1222" t="s">
        <v>1961</v>
      </c>
      <c r="BB286" s="1222" t="s">
        <v>1962</v>
      </c>
      <c r="BC286" s="1222" t="str">
        <f>IF(AND(O286&lt;&gt;"新加算Ⅰ",O286&lt;&gt;"新加算Ⅱ",O286&lt;&gt;"新加算Ⅲ",O286&lt;&gt;"新加算Ⅳ"),O286,IF(P288&lt;&gt;"",P288,""))</f>
        <v/>
      </c>
      <c r="BD286" s="1222"/>
      <c r="BE286" s="1222" t="str">
        <f t="shared" ref="BE286" si="745">IF(AL286&lt;&gt;0,IF(AM286="○","入力済","未入力"),"")</f>
        <v/>
      </c>
      <c r="BF286" s="1222"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2" t="str">
        <f>IF(OR(T286="新加算Ⅴ（７）",T286="新加算Ⅴ（９）",T286="新加算Ⅴ（10）",T286="新加算Ⅴ（12）",T286="新加算Ⅴ（13）",T286="新加算Ⅴ（14）"),IF(OR(AO286="○",AO286="令和６年度中に満たす"),"入力済","未入力"),"")</f>
        <v/>
      </c>
      <c r="BH286" s="1323" t="str">
        <f t="shared" ref="BH286" si="746">IF(OR(T286="新加算Ⅰ",T286="新加算Ⅱ",T286="新加算Ⅲ",T286="新加算Ⅴ（１）",T286="新加算Ⅴ（３）",T286="新加算Ⅴ（８）"),IF(OR(AP286="○",AP286="令和６年度中に満たす"),"入力済","未入力"),"")</f>
        <v/>
      </c>
      <c r="BI286" s="1325" t="str">
        <f t="shared" ref="BI286" si="747">IF(OR(T286="新加算Ⅰ",T286="新加算Ⅱ",T286="新加算Ⅴ（１）",T286="新加算Ⅴ（２）",T286="新加算Ⅴ（３）",T286="新加算Ⅴ（４）",T286="新加算Ⅴ（５）",T286="新加算Ⅴ（６）",T286="新加算Ⅴ（７）",T286="新加算Ⅴ（９）",T286="新加算Ⅴ（10）",T286="新加算Ⅴ（12）"),1,"")</f>
        <v/>
      </c>
      <c r="BJ286" s="1303" t="str">
        <f>IF(OR(T286="新加算Ⅰ",T286="新加算Ⅴ（１）",T286="新加算Ⅴ（２）",T286="新加算Ⅴ（５）",T286="新加算Ⅴ（７）",T286="新加算Ⅴ（10）"),IF(AR286="","未入力","入力済"),"")</f>
        <v/>
      </c>
      <c r="BK286" s="452" t="str">
        <f>G286</f>
        <v/>
      </c>
    </row>
    <row r="287" spans="1:63" ht="15" customHeight="1">
      <c r="A287" s="1267"/>
      <c r="B287" s="1235"/>
      <c r="C287" s="1236"/>
      <c r="D287" s="1236"/>
      <c r="E287" s="1236"/>
      <c r="F287" s="1237"/>
      <c r="G287" s="1252"/>
      <c r="H287" s="1252"/>
      <c r="I287" s="1252"/>
      <c r="J287" s="1415"/>
      <c r="K287" s="1252"/>
      <c r="L287" s="1276"/>
      <c r="M287" s="1371" t="str">
        <f>IF('別紙様式2-2（４・５月分）'!P219="","",'別紙様式2-2（４・５月分）'!P219)</f>
        <v/>
      </c>
      <c r="N287" s="1392"/>
      <c r="O287" s="1398"/>
      <c r="P287" s="1399"/>
      <c r="Q287" s="1400"/>
      <c r="R287" s="1402"/>
      <c r="S287" s="1404"/>
      <c r="T287" s="1406"/>
      <c r="U287" s="1408"/>
      <c r="V287" s="1410"/>
      <c r="W287" s="1348"/>
      <c r="X287" s="1350"/>
      <c r="Y287" s="1348"/>
      <c r="Z287" s="1350"/>
      <c r="AA287" s="1348"/>
      <c r="AB287" s="1350"/>
      <c r="AC287" s="1348"/>
      <c r="AD287" s="1350"/>
      <c r="AE287" s="1350"/>
      <c r="AF287" s="1350"/>
      <c r="AG287" s="1352"/>
      <c r="AH287" s="1354"/>
      <c r="AI287" s="1356"/>
      <c r="AJ287" s="1358"/>
      <c r="AK287" s="1342"/>
      <c r="AL287" s="1346"/>
      <c r="AM287" s="1332"/>
      <c r="AN287" s="1338"/>
      <c r="AO287" s="1334"/>
      <c r="AP287" s="1334"/>
      <c r="AQ287" s="1336"/>
      <c r="AR287" s="1316"/>
      <c r="AS287" s="1302"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4"/>
      <c r="AU287" s="1303"/>
      <c r="AV287" s="1304" t="str">
        <f>IF('別紙様式2-2（４・５月分）'!N219="","",'別紙様式2-2（４・５月分）'!N219)</f>
        <v/>
      </c>
      <c r="AW287" s="1305"/>
      <c r="AX287" s="1306"/>
      <c r="AY287" s="1222"/>
      <c r="AZ287" s="1222"/>
      <c r="BA287" s="1222"/>
      <c r="BB287" s="1222"/>
      <c r="BC287" s="1222"/>
      <c r="BD287" s="1222"/>
      <c r="BE287" s="1222"/>
      <c r="BF287" s="1222"/>
      <c r="BG287" s="1222"/>
      <c r="BH287" s="1324"/>
      <c r="BI287" s="1326"/>
      <c r="BJ287" s="1303"/>
      <c r="BK287" s="452" t="str">
        <f>G286</f>
        <v/>
      </c>
    </row>
    <row r="288" spans="1:63" ht="15" customHeight="1">
      <c r="A288" s="1295"/>
      <c r="B288" s="1235"/>
      <c r="C288" s="1236"/>
      <c r="D288" s="1236"/>
      <c r="E288" s="1236"/>
      <c r="F288" s="1237"/>
      <c r="G288" s="1252"/>
      <c r="H288" s="1252"/>
      <c r="I288" s="1252"/>
      <c r="J288" s="1415"/>
      <c r="K288" s="1252"/>
      <c r="L288" s="1276"/>
      <c r="M288" s="1372"/>
      <c r="N288" s="1393"/>
      <c r="O288" s="1373" t="s">
        <v>2025</v>
      </c>
      <c r="P288" s="1375" t="str">
        <f>IFERROR(VLOOKUP('別紙様式2-2（４・５月分）'!AQ218,【参考】数式用!$AR$5:$AT$22,3,FALSE),"")</f>
        <v/>
      </c>
      <c r="Q288" s="1377" t="s">
        <v>2036</v>
      </c>
      <c r="R288" s="1379" t="str">
        <f>IFERROR(VLOOKUP(K286,【参考】数式用!$A$5:$AB$37,MATCH(P288,【参考】数式用!$B$4:$AB$4,0)+1,0),"")</f>
        <v/>
      </c>
      <c r="S288" s="1381" t="s">
        <v>161</v>
      </c>
      <c r="T288" s="1383"/>
      <c r="U288" s="1385" t="str">
        <f>IFERROR(VLOOKUP(K286,【参考】数式用!$A$5:$AB$37,MATCH(T288,【参考】数式用!$B$4:$AB$4,0)+1,0),"")</f>
        <v/>
      </c>
      <c r="V288" s="1387" t="s">
        <v>15</v>
      </c>
      <c r="W288" s="1389">
        <v>7</v>
      </c>
      <c r="X288" s="1363" t="s">
        <v>10</v>
      </c>
      <c r="Y288" s="1389">
        <v>4</v>
      </c>
      <c r="Z288" s="1363" t="s">
        <v>38</v>
      </c>
      <c r="AA288" s="1389">
        <v>8</v>
      </c>
      <c r="AB288" s="1363" t="s">
        <v>10</v>
      </c>
      <c r="AC288" s="1389">
        <v>3</v>
      </c>
      <c r="AD288" s="1363" t="s">
        <v>13</v>
      </c>
      <c r="AE288" s="1363" t="s">
        <v>20</v>
      </c>
      <c r="AF288" s="1363">
        <f>IF(W288&gt;=1,(AA288*12+AC288)-(W288*12+Y288)+1,"")</f>
        <v>12</v>
      </c>
      <c r="AG288" s="1359" t="s">
        <v>33</v>
      </c>
      <c r="AH288" s="1365" t="str">
        <f t="shared" ref="AH288" si="749">IFERROR(ROUNDDOWN(ROUND(L286*U288,0),0)*AF288,"")</f>
        <v/>
      </c>
      <c r="AI288" s="1367" t="str">
        <f t="shared" ref="AI288" si="750">IFERROR(ROUNDDOWN(ROUND((L286*(U288-AW286)),0),0)*AF288,"")</f>
        <v/>
      </c>
      <c r="AJ288" s="1369">
        <f>IFERROR(IF(OR(M286="",M287="",M289=""),0,ROUNDDOWN(ROUNDDOWN(ROUND(L286*VLOOKUP(K286,【参考】数式用!$A$5:$AB$37,MATCH("新加算Ⅳ",【参考】数式用!$B$4:$AB$4,0)+1,0),0),0)*AF288*0.5,0)),"")</f>
        <v>0</v>
      </c>
      <c r="AK288" s="1339" t="str">
        <f t="shared" ref="AK288" si="751">IF(T288&lt;&gt;"","新規に適用","")</f>
        <v/>
      </c>
      <c r="AL288" s="1343">
        <f>IFERROR(IF(OR(M289="ベア加算",M289=""),0, IF(OR(T286="新加算Ⅰ",T286="新加算Ⅱ",T286="新加算Ⅲ",T286="新加算Ⅳ"),0,ROUNDDOWN(ROUND(L286*VLOOKUP(K286,【参考】数式用!$A$5:$I$37,MATCH("ベア加算",【参考】数式用!$B$4:$I$4,0)+1,0),0),0)*AF288)),"")</f>
        <v>0</v>
      </c>
      <c r="AM288" s="1313" t="str">
        <f>IF(AND(T288&lt;&gt;"",AM286=""),"新規に適用",IF(AND(T288&lt;&gt;"",AM286&lt;&gt;""),"継続で適用",""))</f>
        <v/>
      </c>
      <c r="AN288" s="1313" t="str">
        <f>IF(AND(T288&lt;&gt;"",AN286=""),"新規に適用",IF(AND(T288&lt;&gt;"",AN286&lt;&gt;""),"継続で適用",""))</f>
        <v/>
      </c>
      <c r="AO288" s="1361"/>
      <c r="AP288" s="1313" t="str">
        <f>IF(AND(T288&lt;&gt;"",AP286=""),"新規に適用",IF(AND(T288&lt;&gt;"",AP286&lt;&gt;""),"継続で適用",""))</f>
        <v/>
      </c>
      <c r="AQ288" s="1317" t="str">
        <f t="shared" si="597"/>
        <v/>
      </c>
      <c r="AR288" s="1313" t="str">
        <f>IF(AND(T288&lt;&gt;"",AR286=""),"新規に適用",IF(AND(T288&lt;&gt;"",AR286&lt;&gt;""),"継続で適用",""))</f>
        <v/>
      </c>
      <c r="AS288" s="1302"/>
      <c r="AT288" s="554"/>
      <c r="AU288" s="1303" t="str">
        <f>IF(K286&lt;&gt;"","V列に色付け","")</f>
        <v/>
      </c>
      <c r="AV288" s="1304"/>
      <c r="AW288" s="1305"/>
      <c r="AX288"/>
      <c r="AY288"/>
      <c r="AZ288"/>
      <c r="BA288"/>
      <c r="BB288"/>
      <c r="BC288"/>
      <c r="BD288"/>
      <c r="BE288"/>
      <c r="BF288"/>
      <c r="BG288"/>
      <c r="BH288"/>
      <c r="BI288"/>
      <c r="BJ288"/>
      <c r="BK288" s="452" t="str">
        <f>G286</f>
        <v/>
      </c>
    </row>
    <row r="289" spans="1:63" ht="30" customHeight="1" thickBot="1">
      <c r="A289" s="1268"/>
      <c r="B289" s="1411"/>
      <c r="C289" s="1412"/>
      <c r="D289" s="1412"/>
      <c r="E289" s="1412"/>
      <c r="F289" s="1413"/>
      <c r="G289" s="1253"/>
      <c r="H289" s="1253"/>
      <c r="I289" s="1253"/>
      <c r="J289" s="1416"/>
      <c r="K289" s="1253"/>
      <c r="L289" s="1277"/>
      <c r="M289" s="553" t="str">
        <f>IF('別紙様式2-2（４・５月分）'!P220="","",'別紙様式2-2（４・５月分）'!P220)</f>
        <v/>
      </c>
      <c r="N289" s="1394"/>
      <c r="O289" s="1374"/>
      <c r="P289" s="1376"/>
      <c r="Q289" s="1378"/>
      <c r="R289" s="1380"/>
      <c r="S289" s="1382"/>
      <c r="T289" s="1384"/>
      <c r="U289" s="1386"/>
      <c r="V289" s="1388"/>
      <c r="W289" s="1390"/>
      <c r="X289" s="1364"/>
      <c r="Y289" s="1390"/>
      <c r="Z289" s="1364"/>
      <c r="AA289" s="1390"/>
      <c r="AB289" s="1364"/>
      <c r="AC289" s="1390"/>
      <c r="AD289" s="1364"/>
      <c r="AE289" s="1364"/>
      <c r="AF289" s="1364"/>
      <c r="AG289" s="1360"/>
      <c r="AH289" s="1366"/>
      <c r="AI289" s="1368"/>
      <c r="AJ289" s="1370"/>
      <c r="AK289" s="1340"/>
      <c r="AL289" s="1344"/>
      <c r="AM289" s="1314"/>
      <c r="AN289" s="1314"/>
      <c r="AO289" s="1362"/>
      <c r="AP289" s="1314"/>
      <c r="AQ289" s="1318"/>
      <c r="AR289" s="1314"/>
      <c r="AS289" s="490"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4"/>
      <c r="AU289" s="1303"/>
      <c r="AV289" s="555" t="str">
        <f>IF('別紙様式2-2（４・５月分）'!N220="","",'別紙様式2-2（４・５月分）'!N220)</f>
        <v/>
      </c>
      <c r="AW289" s="1305"/>
      <c r="AX289"/>
      <c r="AY289"/>
      <c r="AZ289"/>
      <c r="BA289"/>
      <c r="BB289"/>
      <c r="BC289"/>
      <c r="BD289"/>
      <c r="BE289"/>
      <c r="BF289"/>
      <c r="BG289"/>
      <c r="BH289"/>
      <c r="BI289"/>
      <c r="BJ289"/>
      <c r="BK289" s="452" t="str">
        <f>G286</f>
        <v/>
      </c>
    </row>
    <row r="290" spans="1:63" ht="30" customHeight="1">
      <c r="A290" s="1293">
        <v>70</v>
      </c>
      <c r="B290" s="1232" t="str">
        <f>IF(基本情報入力シート!C123="","",基本情報入力シート!C123)</f>
        <v/>
      </c>
      <c r="C290" s="1233"/>
      <c r="D290" s="1233"/>
      <c r="E290" s="1233"/>
      <c r="F290" s="1234"/>
      <c r="G290" s="1251" t="str">
        <f>IF(基本情報入力シート!M123="","",基本情報入力シート!M123)</f>
        <v/>
      </c>
      <c r="H290" s="1251" t="str">
        <f>IF(基本情報入力シート!R123="","",基本情報入力シート!R123)</f>
        <v/>
      </c>
      <c r="I290" s="1251" t="str">
        <f>IF(基本情報入力シート!W123="","",基本情報入力シート!W123)</f>
        <v/>
      </c>
      <c r="J290" s="1414" t="str">
        <f>IF(基本情報入力シート!X123="","",基本情報入力シート!X123)</f>
        <v/>
      </c>
      <c r="K290" s="1251" t="str">
        <f>IF(基本情報入力シート!Y123="","",基本情報入力シート!Y123)</f>
        <v/>
      </c>
      <c r="L290" s="1275" t="str">
        <f>IF(基本情報入力シート!AB123="","",基本情報入力シート!AB123)</f>
        <v/>
      </c>
      <c r="M290" s="550" t="str">
        <f>IF('別紙様式2-2（４・５月分）'!P221="","",'別紙様式2-2（４・５月分）'!P221)</f>
        <v/>
      </c>
      <c r="N290" s="1391" t="str">
        <f>IF(SUM('別紙様式2-2（４・５月分）'!Q221:Q223)=0,"",SUM('別紙様式2-2（４・５月分）'!Q221:Q223))</f>
        <v/>
      </c>
      <c r="O290" s="1395" t="str">
        <f>IFERROR(VLOOKUP('別紙様式2-2（４・５月分）'!AQ221,【参考】数式用!$AR$5:$AS$22,2,FALSE),"")</f>
        <v/>
      </c>
      <c r="P290" s="1396"/>
      <c r="Q290" s="1397"/>
      <c r="R290" s="1401" t="str">
        <f>IFERROR(VLOOKUP(K290,【参考】数式用!$A$5:$AB$37,MATCH(O290,【参考】数式用!$B$4:$AB$4,0)+1,0),"")</f>
        <v/>
      </c>
      <c r="S290" s="1403" t="s">
        <v>2021</v>
      </c>
      <c r="T290" s="1405"/>
      <c r="U290" s="1407" t="str">
        <f>IFERROR(VLOOKUP(K290,【参考】数式用!$A$5:$AB$37,MATCH(T290,【参考】数式用!$B$4:$AB$4,0)+1,0),"")</f>
        <v/>
      </c>
      <c r="V290" s="1409" t="s">
        <v>15</v>
      </c>
      <c r="W290" s="1347">
        <v>6</v>
      </c>
      <c r="X290" s="1349" t="s">
        <v>10</v>
      </c>
      <c r="Y290" s="1347">
        <v>6</v>
      </c>
      <c r="Z290" s="1349" t="s">
        <v>38</v>
      </c>
      <c r="AA290" s="1347">
        <v>7</v>
      </c>
      <c r="AB290" s="1349" t="s">
        <v>10</v>
      </c>
      <c r="AC290" s="1347">
        <v>3</v>
      </c>
      <c r="AD290" s="1349" t="s">
        <v>13</v>
      </c>
      <c r="AE290" s="1349" t="s">
        <v>20</v>
      </c>
      <c r="AF290" s="1349">
        <f>IF(W290&gt;=1,(AA290*12+AC290)-(W290*12+Y290)+1,"")</f>
        <v>10</v>
      </c>
      <c r="AG290" s="1351" t="s">
        <v>33</v>
      </c>
      <c r="AH290" s="1353" t="str">
        <f t="shared" ref="AH290" si="753">IFERROR(ROUNDDOWN(ROUND(L290*U290,0),0)*AF290,"")</f>
        <v/>
      </c>
      <c r="AI290" s="1355" t="str">
        <f t="shared" ref="AI290" si="754">IFERROR(ROUNDDOWN(ROUND((L290*(U290-AW290)),0),0)*AF290,"")</f>
        <v/>
      </c>
      <c r="AJ290" s="1357">
        <f>IFERROR(IF(OR(M290="",M291="",M293=""),0,ROUNDDOWN(ROUNDDOWN(ROUND(L290*VLOOKUP(K290,【参考】数式用!$A$5:$AB$37,MATCH("新加算Ⅳ",【参考】数式用!$B$4:$AB$4,0)+1,0),0),0)*AF290*0.5,0)),"")</f>
        <v>0</v>
      </c>
      <c r="AK290" s="1341"/>
      <c r="AL290" s="1345">
        <f>IFERROR(IF(OR(M293="ベア加算",M293=""),0, IF(OR(T290="新加算Ⅰ",T290="新加算Ⅱ",T290="新加算Ⅲ",T290="新加算Ⅳ"),ROUNDDOWN(ROUND(L290*VLOOKUP(K290,【参考】数式用!$A$5:$I$37,MATCH("ベア加算",【参考】数式用!$B$4:$I$4,0)+1,0),0),0)*AF290,0)),"")</f>
        <v>0</v>
      </c>
      <c r="AM290" s="1331"/>
      <c r="AN290" s="1337"/>
      <c r="AO290" s="1333"/>
      <c r="AP290" s="1333"/>
      <c r="AQ290" s="1335"/>
      <c r="AR290" s="1315"/>
      <c r="AS290" s="465" t="str">
        <f t="shared" ref="AS290" si="755">IF(AU290="","",IF(U290&lt;N290,"！加算の要件上は問題ありませんが、令和６年４・５月と比較して令和６年６月に加算率が下がる計画になっています。",""))</f>
        <v/>
      </c>
      <c r="AT290" s="554"/>
      <c r="AU290" s="1303" t="str">
        <f>IF(K290&lt;&gt;"","V列に色付け","")</f>
        <v/>
      </c>
      <c r="AV290" s="555" t="str">
        <f>IF('別紙様式2-2（４・５月分）'!N221="","",'別紙様式2-2（４・５月分）'!N221)</f>
        <v/>
      </c>
      <c r="AW290" s="1305" t="str">
        <f>IF(SUM('別紙様式2-2（４・５月分）'!O221:O223)=0,"",SUM('別紙様式2-2（４・５月分）'!O221:O223))</f>
        <v/>
      </c>
      <c r="AX290" s="1306" t="str">
        <f>IFERROR(VLOOKUP(K290,【参考】数式用!$AH$2:$AI$34,2,FALSE),"")</f>
        <v/>
      </c>
      <c r="AY290" s="1222" t="s">
        <v>1959</v>
      </c>
      <c r="AZ290" s="1222" t="s">
        <v>1960</v>
      </c>
      <c r="BA290" s="1222" t="s">
        <v>1961</v>
      </c>
      <c r="BB290" s="1222" t="s">
        <v>1962</v>
      </c>
      <c r="BC290" s="1222" t="str">
        <f>IF(AND(O290&lt;&gt;"新加算Ⅰ",O290&lt;&gt;"新加算Ⅱ",O290&lt;&gt;"新加算Ⅲ",O290&lt;&gt;"新加算Ⅳ"),O290,IF(P292&lt;&gt;"",P292,""))</f>
        <v/>
      </c>
      <c r="BD290" s="1222"/>
      <c r="BE290" s="1222" t="str">
        <f t="shared" ref="BE290" si="756">IF(AL290&lt;&gt;0,IF(AM290="○","入力済","未入力"),"")</f>
        <v/>
      </c>
      <c r="BF290" s="1222"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2" t="str">
        <f>IF(OR(T290="新加算Ⅴ（７）",T290="新加算Ⅴ（９）",T290="新加算Ⅴ（10）",T290="新加算Ⅴ（12）",T290="新加算Ⅴ（13）",T290="新加算Ⅴ（14）"),IF(OR(AO290="○",AO290="令和６年度中に満たす"),"入力済","未入力"),"")</f>
        <v/>
      </c>
      <c r="BH290" s="1323" t="str">
        <f t="shared" ref="BH290" si="757">IF(OR(T290="新加算Ⅰ",T290="新加算Ⅱ",T290="新加算Ⅲ",T290="新加算Ⅴ（１）",T290="新加算Ⅴ（３）",T290="新加算Ⅴ（８）"),IF(OR(AP290="○",AP290="令和６年度中に満たす"),"入力済","未入力"),"")</f>
        <v/>
      </c>
      <c r="BI290" s="1325" t="str">
        <f t="shared" ref="BI290" si="758">IF(OR(T290="新加算Ⅰ",T290="新加算Ⅱ",T290="新加算Ⅴ（１）",T290="新加算Ⅴ（２）",T290="新加算Ⅴ（３）",T290="新加算Ⅴ（４）",T290="新加算Ⅴ（５）",T290="新加算Ⅴ（６）",T290="新加算Ⅴ（７）",T290="新加算Ⅴ（９）",T290="新加算Ⅴ（10）",T290="新加算Ⅴ（12）"),1,"")</f>
        <v/>
      </c>
      <c r="BJ290" s="1303" t="str">
        <f>IF(OR(T290="新加算Ⅰ",T290="新加算Ⅴ（１）",T290="新加算Ⅴ（２）",T290="新加算Ⅴ（５）",T290="新加算Ⅴ（７）",T290="新加算Ⅴ（10）"),IF(AR290="","未入力","入力済"),"")</f>
        <v/>
      </c>
      <c r="BK290" s="452" t="str">
        <f>G290</f>
        <v/>
      </c>
    </row>
    <row r="291" spans="1:63" ht="15" customHeight="1">
      <c r="A291" s="1267"/>
      <c r="B291" s="1235"/>
      <c r="C291" s="1236"/>
      <c r="D291" s="1236"/>
      <c r="E291" s="1236"/>
      <c r="F291" s="1237"/>
      <c r="G291" s="1252"/>
      <c r="H291" s="1252"/>
      <c r="I291" s="1252"/>
      <c r="J291" s="1415"/>
      <c r="K291" s="1252"/>
      <c r="L291" s="1276"/>
      <c r="M291" s="1371" t="str">
        <f>IF('別紙様式2-2（４・５月分）'!P222="","",'別紙様式2-2（４・５月分）'!P222)</f>
        <v/>
      </c>
      <c r="N291" s="1392"/>
      <c r="O291" s="1398"/>
      <c r="P291" s="1399"/>
      <c r="Q291" s="1400"/>
      <c r="R291" s="1402"/>
      <c r="S291" s="1404"/>
      <c r="T291" s="1406"/>
      <c r="U291" s="1408"/>
      <c r="V291" s="1410"/>
      <c r="W291" s="1348"/>
      <c r="X291" s="1350"/>
      <c r="Y291" s="1348"/>
      <c r="Z291" s="1350"/>
      <c r="AA291" s="1348"/>
      <c r="AB291" s="1350"/>
      <c r="AC291" s="1348"/>
      <c r="AD291" s="1350"/>
      <c r="AE291" s="1350"/>
      <c r="AF291" s="1350"/>
      <c r="AG291" s="1352"/>
      <c r="AH291" s="1354"/>
      <c r="AI291" s="1356"/>
      <c r="AJ291" s="1358"/>
      <c r="AK291" s="1342"/>
      <c r="AL291" s="1346"/>
      <c r="AM291" s="1332"/>
      <c r="AN291" s="1338"/>
      <c r="AO291" s="1334"/>
      <c r="AP291" s="1334"/>
      <c r="AQ291" s="1336"/>
      <c r="AR291" s="1316"/>
      <c r="AS291" s="1302"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4"/>
      <c r="AU291" s="1303"/>
      <c r="AV291" s="1304" t="str">
        <f>IF('別紙様式2-2（４・５月分）'!N222="","",'別紙様式2-2（４・５月分）'!N222)</f>
        <v/>
      </c>
      <c r="AW291" s="1305"/>
      <c r="AX291" s="1306"/>
      <c r="AY291" s="1222"/>
      <c r="AZ291" s="1222"/>
      <c r="BA291" s="1222"/>
      <c r="BB291" s="1222"/>
      <c r="BC291" s="1222"/>
      <c r="BD291" s="1222"/>
      <c r="BE291" s="1222"/>
      <c r="BF291" s="1222"/>
      <c r="BG291" s="1222"/>
      <c r="BH291" s="1324"/>
      <c r="BI291" s="1326"/>
      <c r="BJ291" s="1303"/>
      <c r="BK291" s="452" t="str">
        <f>G290</f>
        <v/>
      </c>
    </row>
    <row r="292" spans="1:63" ht="15" customHeight="1">
      <c r="A292" s="1295"/>
      <c r="B292" s="1235"/>
      <c r="C292" s="1236"/>
      <c r="D292" s="1236"/>
      <c r="E292" s="1236"/>
      <c r="F292" s="1237"/>
      <c r="G292" s="1252"/>
      <c r="H292" s="1252"/>
      <c r="I292" s="1252"/>
      <c r="J292" s="1415"/>
      <c r="K292" s="1252"/>
      <c r="L292" s="1276"/>
      <c r="M292" s="1372"/>
      <c r="N292" s="1393"/>
      <c r="O292" s="1373" t="s">
        <v>2025</v>
      </c>
      <c r="P292" s="1375" t="str">
        <f>IFERROR(VLOOKUP('別紙様式2-2（４・５月分）'!AQ221,【参考】数式用!$AR$5:$AT$22,3,FALSE),"")</f>
        <v/>
      </c>
      <c r="Q292" s="1377" t="s">
        <v>2036</v>
      </c>
      <c r="R292" s="1379" t="str">
        <f>IFERROR(VLOOKUP(K290,【参考】数式用!$A$5:$AB$37,MATCH(P292,【参考】数式用!$B$4:$AB$4,0)+1,0),"")</f>
        <v/>
      </c>
      <c r="S292" s="1381" t="s">
        <v>161</v>
      </c>
      <c r="T292" s="1383"/>
      <c r="U292" s="1385" t="str">
        <f>IFERROR(VLOOKUP(K290,【参考】数式用!$A$5:$AB$37,MATCH(T292,【参考】数式用!$B$4:$AB$4,0)+1,0),"")</f>
        <v/>
      </c>
      <c r="V292" s="1387" t="s">
        <v>15</v>
      </c>
      <c r="W292" s="1389">
        <v>7</v>
      </c>
      <c r="X292" s="1363" t="s">
        <v>10</v>
      </c>
      <c r="Y292" s="1389">
        <v>4</v>
      </c>
      <c r="Z292" s="1363" t="s">
        <v>38</v>
      </c>
      <c r="AA292" s="1389">
        <v>8</v>
      </c>
      <c r="AB292" s="1363" t="s">
        <v>10</v>
      </c>
      <c r="AC292" s="1389">
        <v>3</v>
      </c>
      <c r="AD292" s="1363" t="s">
        <v>13</v>
      </c>
      <c r="AE292" s="1363" t="s">
        <v>20</v>
      </c>
      <c r="AF292" s="1363">
        <f>IF(W292&gt;=1,(AA292*12+AC292)-(W292*12+Y292)+1,"")</f>
        <v>12</v>
      </c>
      <c r="AG292" s="1359" t="s">
        <v>33</v>
      </c>
      <c r="AH292" s="1365" t="str">
        <f t="shared" ref="AH292" si="760">IFERROR(ROUNDDOWN(ROUND(L290*U292,0),0)*AF292,"")</f>
        <v/>
      </c>
      <c r="AI292" s="1367" t="str">
        <f t="shared" ref="AI292" si="761">IFERROR(ROUNDDOWN(ROUND((L290*(U292-AW290)),0),0)*AF292,"")</f>
        <v/>
      </c>
      <c r="AJ292" s="1369">
        <f>IFERROR(IF(OR(M290="",M291="",M293=""),0,ROUNDDOWN(ROUNDDOWN(ROUND(L290*VLOOKUP(K290,【参考】数式用!$A$5:$AB$37,MATCH("新加算Ⅳ",【参考】数式用!$B$4:$AB$4,0)+1,0),0),0)*AF292*0.5,0)),"")</f>
        <v>0</v>
      </c>
      <c r="AK292" s="1339" t="str">
        <f t="shared" ref="AK292" si="762">IF(T292&lt;&gt;"","新規に適用","")</f>
        <v/>
      </c>
      <c r="AL292" s="1343">
        <f>IFERROR(IF(OR(M293="ベア加算",M293=""),0, IF(OR(T290="新加算Ⅰ",T290="新加算Ⅱ",T290="新加算Ⅲ",T290="新加算Ⅳ"),0,ROUNDDOWN(ROUND(L290*VLOOKUP(K290,【参考】数式用!$A$5:$I$37,MATCH("ベア加算",【参考】数式用!$B$4:$I$4,0)+1,0),0),0)*AF292)),"")</f>
        <v>0</v>
      </c>
      <c r="AM292" s="1313" t="str">
        <f>IF(AND(T292&lt;&gt;"",AM290=""),"新規に適用",IF(AND(T292&lt;&gt;"",AM290&lt;&gt;""),"継続で適用",""))</f>
        <v/>
      </c>
      <c r="AN292" s="1313" t="str">
        <f>IF(AND(T292&lt;&gt;"",AN290=""),"新規に適用",IF(AND(T292&lt;&gt;"",AN290&lt;&gt;""),"継続で適用",""))</f>
        <v/>
      </c>
      <c r="AO292" s="1361"/>
      <c r="AP292" s="1313" t="str">
        <f>IF(AND(T292&lt;&gt;"",AP290=""),"新規に適用",IF(AND(T292&lt;&gt;"",AP290&lt;&gt;""),"継続で適用",""))</f>
        <v/>
      </c>
      <c r="AQ292" s="1317" t="str">
        <f t="shared" si="597"/>
        <v/>
      </c>
      <c r="AR292" s="1313" t="str">
        <f>IF(AND(T292&lt;&gt;"",AR290=""),"新規に適用",IF(AND(T292&lt;&gt;"",AR290&lt;&gt;""),"継続で適用",""))</f>
        <v/>
      </c>
      <c r="AS292" s="1302"/>
      <c r="AT292" s="554"/>
      <c r="AU292" s="1303" t="str">
        <f>IF(K290&lt;&gt;"","V列に色付け","")</f>
        <v/>
      </c>
      <c r="AV292" s="1304"/>
      <c r="AW292" s="1305"/>
      <c r="AX292"/>
      <c r="AY292"/>
      <c r="AZ292"/>
      <c r="BA292"/>
      <c r="BB292"/>
      <c r="BC292"/>
      <c r="BD292"/>
      <c r="BE292"/>
      <c r="BF292"/>
      <c r="BG292"/>
      <c r="BH292"/>
      <c r="BI292"/>
      <c r="BJ292"/>
      <c r="BK292" s="452" t="str">
        <f>G290</f>
        <v/>
      </c>
    </row>
    <row r="293" spans="1:63" ht="30" customHeight="1" thickBot="1">
      <c r="A293" s="1268"/>
      <c r="B293" s="1411"/>
      <c r="C293" s="1412"/>
      <c r="D293" s="1412"/>
      <c r="E293" s="1412"/>
      <c r="F293" s="1413"/>
      <c r="G293" s="1253"/>
      <c r="H293" s="1253"/>
      <c r="I293" s="1253"/>
      <c r="J293" s="1416"/>
      <c r="K293" s="1253"/>
      <c r="L293" s="1277"/>
      <c r="M293" s="553" t="str">
        <f>IF('別紙様式2-2（４・５月分）'!P223="","",'別紙様式2-2（４・５月分）'!P223)</f>
        <v/>
      </c>
      <c r="N293" s="1394"/>
      <c r="O293" s="1374"/>
      <c r="P293" s="1376"/>
      <c r="Q293" s="1378"/>
      <c r="R293" s="1380"/>
      <c r="S293" s="1382"/>
      <c r="T293" s="1384"/>
      <c r="U293" s="1386"/>
      <c r="V293" s="1388"/>
      <c r="W293" s="1390"/>
      <c r="X293" s="1364"/>
      <c r="Y293" s="1390"/>
      <c r="Z293" s="1364"/>
      <c r="AA293" s="1390"/>
      <c r="AB293" s="1364"/>
      <c r="AC293" s="1390"/>
      <c r="AD293" s="1364"/>
      <c r="AE293" s="1364"/>
      <c r="AF293" s="1364"/>
      <c r="AG293" s="1360"/>
      <c r="AH293" s="1366"/>
      <c r="AI293" s="1368"/>
      <c r="AJ293" s="1370"/>
      <c r="AK293" s="1340"/>
      <c r="AL293" s="1344"/>
      <c r="AM293" s="1314"/>
      <c r="AN293" s="1314"/>
      <c r="AO293" s="1362"/>
      <c r="AP293" s="1314"/>
      <c r="AQ293" s="1318"/>
      <c r="AR293" s="1314"/>
      <c r="AS293" s="490"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4"/>
      <c r="AU293" s="1303"/>
      <c r="AV293" s="555" t="str">
        <f>IF('別紙様式2-2（４・５月分）'!N223="","",'別紙様式2-2（４・５月分）'!N223)</f>
        <v/>
      </c>
      <c r="AW293" s="1305"/>
      <c r="AX293"/>
      <c r="AY293"/>
      <c r="AZ293"/>
      <c r="BA293"/>
      <c r="BB293"/>
      <c r="BC293"/>
      <c r="BD293"/>
      <c r="BE293"/>
      <c r="BF293"/>
      <c r="BG293"/>
      <c r="BH293"/>
      <c r="BI293"/>
      <c r="BJ293"/>
      <c r="BK293" s="452" t="str">
        <f>G290</f>
        <v/>
      </c>
    </row>
    <row r="294" spans="1:63" ht="30" customHeight="1">
      <c r="A294" s="1266">
        <v>71</v>
      </c>
      <c r="B294" s="1235" t="str">
        <f>IF(基本情報入力シート!C124="","",基本情報入力シート!C124)</f>
        <v/>
      </c>
      <c r="C294" s="1236"/>
      <c r="D294" s="1236"/>
      <c r="E294" s="1236"/>
      <c r="F294" s="1237"/>
      <c r="G294" s="1252" t="str">
        <f>IF(基本情報入力シート!M124="","",基本情報入力シート!M124)</f>
        <v/>
      </c>
      <c r="H294" s="1252" t="str">
        <f>IF(基本情報入力シート!R124="","",基本情報入力シート!R124)</f>
        <v/>
      </c>
      <c r="I294" s="1252" t="str">
        <f>IF(基本情報入力シート!W124="","",基本情報入力シート!W124)</f>
        <v/>
      </c>
      <c r="J294" s="1415" t="str">
        <f>IF(基本情報入力シート!X124="","",基本情報入力シート!X124)</f>
        <v/>
      </c>
      <c r="K294" s="1252" t="str">
        <f>IF(基本情報入力シート!Y124="","",基本情報入力シート!Y124)</f>
        <v/>
      </c>
      <c r="L294" s="1276" t="str">
        <f>IF(基本情報入力シート!AB124="","",基本情報入力シート!AB124)</f>
        <v/>
      </c>
      <c r="M294" s="550" t="str">
        <f>IF('別紙様式2-2（４・５月分）'!P224="","",'別紙様式2-2（４・５月分）'!P224)</f>
        <v/>
      </c>
      <c r="N294" s="1391" t="str">
        <f>IF(SUM('別紙様式2-2（４・５月分）'!Q224:Q226)=0,"",SUM('別紙様式2-2（４・５月分）'!Q224:Q226))</f>
        <v/>
      </c>
      <c r="O294" s="1395" t="str">
        <f>IFERROR(VLOOKUP('別紙様式2-2（４・５月分）'!AQ224,【参考】数式用!$AR$5:$AS$22,2,FALSE),"")</f>
        <v/>
      </c>
      <c r="P294" s="1396"/>
      <c r="Q294" s="1397"/>
      <c r="R294" s="1401" t="str">
        <f>IFERROR(VLOOKUP(K294,【参考】数式用!$A$5:$AB$37,MATCH(O294,【参考】数式用!$B$4:$AB$4,0)+1,0),"")</f>
        <v/>
      </c>
      <c r="S294" s="1403" t="s">
        <v>2021</v>
      </c>
      <c r="T294" s="1405"/>
      <c r="U294" s="1407" t="str">
        <f>IFERROR(VLOOKUP(K294,【参考】数式用!$A$5:$AB$37,MATCH(T294,【参考】数式用!$B$4:$AB$4,0)+1,0),"")</f>
        <v/>
      </c>
      <c r="V294" s="1409" t="s">
        <v>15</v>
      </c>
      <c r="W294" s="1347">
        <v>6</v>
      </c>
      <c r="X294" s="1349" t="s">
        <v>10</v>
      </c>
      <c r="Y294" s="1347">
        <v>6</v>
      </c>
      <c r="Z294" s="1349" t="s">
        <v>38</v>
      </c>
      <c r="AA294" s="1347">
        <v>7</v>
      </c>
      <c r="AB294" s="1349" t="s">
        <v>10</v>
      </c>
      <c r="AC294" s="1347">
        <v>3</v>
      </c>
      <c r="AD294" s="1349" t="s">
        <v>13</v>
      </c>
      <c r="AE294" s="1349" t="s">
        <v>20</v>
      </c>
      <c r="AF294" s="1349">
        <f>IF(W294&gt;=1,(AA294*12+AC294)-(W294*12+Y294)+1,"")</f>
        <v>10</v>
      </c>
      <c r="AG294" s="1351" t="s">
        <v>33</v>
      </c>
      <c r="AH294" s="1353" t="str">
        <f t="shared" ref="AH294" si="764">IFERROR(ROUNDDOWN(ROUND(L294*U294,0),0)*AF294,"")</f>
        <v/>
      </c>
      <c r="AI294" s="1355" t="str">
        <f t="shared" ref="AI294" si="765">IFERROR(ROUNDDOWN(ROUND((L294*(U294-AW294)),0),0)*AF294,"")</f>
        <v/>
      </c>
      <c r="AJ294" s="1357">
        <f>IFERROR(IF(OR(M294="",M295="",M297=""),0,ROUNDDOWN(ROUNDDOWN(ROUND(L294*VLOOKUP(K294,【参考】数式用!$A$5:$AB$37,MATCH("新加算Ⅳ",【参考】数式用!$B$4:$AB$4,0)+1,0),0),0)*AF294*0.5,0)),"")</f>
        <v>0</v>
      </c>
      <c r="AK294" s="1341"/>
      <c r="AL294" s="1345">
        <f>IFERROR(IF(OR(M297="ベア加算",M297=""),0, IF(OR(T294="新加算Ⅰ",T294="新加算Ⅱ",T294="新加算Ⅲ",T294="新加算Ⅳ"),ROUNDDOWN(ROUND(L294*VLOOKUP(K294,【参考】数式用!$A$5:$I$37,MATCH("ベア加算",【参考】数式用!$B$4:$I$4,0)+1,0),0),0)*AF294,0)),"")</f>
        <v>0</v>
      </c>
      <c r="AM294" s="1331"/>
      <c r="AN294" s="1337"/>
      <c r="AO294" s="1333"/>
      <c r="AP294" s="1333"/>
      <c r="AQ294" s="1335"/>
      <c r="AR294" s="1315"/>
      <c r="AS294" s="465" t="str">
        <f t="shared" ref="AS294" si="766">IF(AU294="","",IF(U294&lt;N294,"！加算の要件上は問題ありませんが、令和６年４・５月と比較して令和６年６月に加算率が下がる計画になっています。",""))</f>
        <v/>
      </c>
      <c r="AT294" s="554"/>
      <c r="AU294" s="1303" t="str">
        <f>IF(K294&lt;&gt;"","V列に色付け","")</f>
        <v/>
      </c>
      <c r="AV294" s="555" t="str">
        <f>IF('別紙様式2-2（４・５月分）'!N224="","",'別紙様式2-2（４・５月分）'!N224)</f>
        <v/>
      </c>
      <c r="AW294" s="1305" t="str">
        <f>IF(SUM('別紙様式2-2（４・５月分）'!O224:O226)=0,"",SUM('別紙様式2-2（４・５月分）'!O224:O226))</f>
        <v/>
      </c>
      <c r="AX294" s="1306" t="str">
        <f>IFERROR(VLOOKUP(K294,【参考】数式用!$AH$2:$AI$34,2,FALSE),"")</f>
        <v/>
      </c>
      <c r="AY294" s="1222" t="s">
        <v>1959</v>
      </c>
      <c r="AZ294" s="1222" t="s">
        <v>1960</v>
      </c>
      <c r="BA294" s="1222" t="s">
        <v>1961</v>
      </c>
      <c r="BB294" s="1222" t="s">
        <v>1962</v>
      </c>
      <c r="BC294" s="1222" t="str">
        <f>IF(AND(O294&lt;&gt;"新加算Ⅰ",O294&lt;&gt;"新加算Ⅱ",O294&lt;&gt;"新加算Ⅲ",O294&lt;&gt;"新加算Ⅳ"),O294,IF(P296&lt;&gt;"",P296,""))</f>
        <v/>
      </c>
      <c r="BD294" s="1222"/>
      <c r="BE294" s="1222" t="str">
        <f t="shared" ref="BE294" si="767">IF(AL294&lt;&gt;0,IF(AM294="○","入力済","未入力"),"")</f>
        <v/>
      </c>
      <c r="BF294" s="1222"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2" t="str">
        <f>IF(OR(T294="新加算Ⅴ（７）",T294="新加算Ⅴ（９）",T294="新加算Ⅴ（10）",T294="新加算Ⅴ（12）",T294="新加算Ⅴ（13）",T294="新加算Ⅴ（14）"),IF(OR(AO294="○",AO294="令和６年度中に満たす"),"入力済","未入力"),"")</f>
        <v/>
      </c>
      <c r="BH294" s="1323" t="str">
        <f t="shared" ref="BH294" si="768">IF(OR(T294="新加算Ⅰ",T294="新加算Ⅱ",T294="新加算Ⅲ",T294="新加算Ⅴ（１）",T294="新加算Ⅴ（３）",T294="新加算Ⅴ（８）"),IF(OR(AP294="○",AP294="令和６年度中に満たす"),"入力済","未入力"),"")</f>
        <v/>
      </c>
      <c r="BI294" s="1325" t="str">
        <f t="shared" ref="BI294" si="769">IF(OR(T294="新加算Ⅰ",T294="新加算Ⅱ",T294="新加算Ⅴ（１）",T294="新加算Ⅴ（２）",T294="新加算Ⅴ（３）",T294="新加算Ⅴ（４）",T294="新加算Ⅴ（５）",T294="新加算Ⅴ（６）",T294="新加算Ⅴ（７）",T294="新加算Ⅴ（９）",T294="新加算Ⅴ（10）",T294="新加算Ⅴ（12）"),1,"")</f>
        <v/>
      </c>
      <c r="BJ294" s="1303" t="str">
        <f>IF(OR(T294="新加算Ⅰ",T294="新加算Ⅴ（１）",T294="新加算Ⅴ（２）",T294="新加算Ⅴ（５）",T294="新加算Ⅴ（７）",T294="新加算Ⅴ（10）"),IF(AR294="","未入力","入力済"),"")</f>
        <v/>
      </c>
      <c r="BK294" s="452" t="str">
        <f>G294</f>
        <v/>
      </c>
    </row>
    <row r="295" spans="1:63" ht="15" customHeight="1">
      <c r="A295" s="1267"/>
      <c r="B295" s="1235"/>
      <c r="C295" s="1236"/>
      <c r="D295" s="1236"/>
      <c r="E295" s="1236"/>
      <c r="F295" s="1237"/>
      <c r="G295" s="1252"/>
      <c r="H295" s="1252"/>
      <c r="I295" s="1252"/>
      <c r="J295" s="1415"/>
      <c r="K295" s="1252"/>
      <c r="L295" s="1276"/>
      <c r="M295" s="1371" t="str">
        <f>IF('別紙様式2-2（４・５月分）'!P225="","",'別紙様式2-2（４・５月分）'!P225)</f>
        <v/>
      </c>
      <c r="N295" s="1392"/>
      <c r="O295" s="1398"/>
      <c r="P295" s="1399"/>
      <c r="Q295" s="1400"/>
      <c r="R295" s="1402"/>
      <c r="S295" s="1404"/>
      <c r="T295" s="1406"/>
      <c r="U295" s="1408"/>
      <c r="V295" s="1410"/>
      <c r="W295" s="1348"/>
      <c r="X295" s="1350"/>
      <c r="Y295" s="1348"/>
      <c r="Z295" s="1350"/>
      <c r="AA295" s="1348"/>
      <c r="AB295" s="1350"/>
      <c r="AC295" s="1348"/>
      <c r="AD295" s="1350"/>
      <c r="AE295" s="1350"/>
      <c r="AF295" s="1350"/>
      <c r="AG295" s="1352"/>
      <c r="AH295" s="1354"/>
      <c r="AI295" s="1356"/>
      <c r="AJ295" s="1358"/>
      <c r="AK295" s="1342"/>
      <c r="AL295" s="1346"/>
      <c r="AM295" s="1332"/>
      <c r="AN295" s="1338"/>
      <c r="AO295" s="1334"/>
      <c r="AP295" s="1334"/>
      <c r="AQ295" s="1336"/>
      <c r="AR295" s="1316"/>
      <c r="AS295" s="1302"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4"/>
      <c r="AU295" s="1303"/>
      <c r="AV295" s="1304" t="str">
        <f>IF('別紙様式2-2（４・５月分）'!N225="","",'別紙様式2-2（４・５月分）'!N225)</f>
        <v/>
      </c>
      <c r="AW295" s="1305"/>
      <c r="AX295" s="1306"/>
      <c r="AY295" s="1222"/>
      <c r="AZ295" s="1222"/>
      <c r="BA295" s="1222"/>
      <c r="BB295" s="1222"/>
      <c r="BC295" s="1222"/>
      <c r="BD295" s="1222"/>
      <c r="BE295" s="1222"/>
      <c r="BF295" s="1222"/>
      <c r="BG295" s="1222"/>
      <c r="BH295" s="1324"/>
      <c r="BI295" s="1326"/>
      <c r="BJ295" s="1303"/>
      <c r="BK295" s="452" t="str">
        <f>G294</f>
        <v/>
      </c>
    </row>
    <row r="296" spans="1:63" ht="15" customHeight="1">
      <c r="A296" s="1295"/>
      <c r="B296" s="1235"/>
      <c r="C296" s="1236"/>
      <c r="D296" s="1236"/>
      <c r="E296" s="1236"/>
      <c r="F296" s="1237"/>
      <c r="G296" s="1252"/>
      <c r="H296" s="1252"/>
      <c r="I296" s="1252"/>
      <c r="J296" s="1415"/>
      <c r="K296" s="1252"/>
      <c r="L296" s="1276"/>
      <c r="M296" s="1372"/>
      <c r="N296" s="1393"/>
      <c r="O296" s="1373" t="s">
        <v>2025</v>
      </c>
      <c r="P296" s="1375" t="str">
        <f>IFERROR(VLOOKUP('別紙様式2-2（４・５月分）'!AQ224,【参考】数式用!$AR$5:$AT$22,3,FALSE),"")</f>
        <v/>
      </c>
      <c r="Q296" s="1377" t="s">
        <v>2036</v>
      </c>
      <c r="R296" s="1379" t="str">
        <f>IFERROR(VLOOKUP(K294,【参考】数式用!$A$5:$AB$37,MATCH(P296,【参考】数式用!$B$4:$AB$4,0)+1,0),"")</f>
        <v/>
      </c>
      <c r="S296" s="1381" t="s">
        <v>161</v>
      </c>
      <c r="T296" s="1383"/>
      <c r="U296" s="1385" t="str">
        <f>IFERROR(VLOOKUP(K294,【参考】数式用!$A$5:$AB$37,MATCH(T296,【参考】数式用!$B$4:$AB$4,0)+1,0),"")</f>
        <v/>
      </c>
      <c r="V296" s="1387" t="s">
        <v>15</v>
      </c>
      <c r="W296" s="1389">
        <v>7</v>
      </c>
      <c r="X296" s="1363" t="s">
        <v>10</v>
      </c>
      <c r="Y296" s="1389">
        <v>4</v>
      </c>
      <c r="Z296" s="1363" t="s">
        <v>38</v>
      </c>
      <c r="AA296" s="1389">
        <v>8</v>
      </c>
      <c r="AB296" s="1363" t="s">
        <v>10</v>
      </c>
      <c r="AC296" s="1389">
        <v>3</v>
      </c>
      <c r="AD296" s="1363" t="s">
        <v>13</v>
      </c>
      <c r="AE296" s="1363" t="s">
        <v>20</v>
      </c>
      <c r="AF296" s="1363">
        <f>IF(W296&gt;=1,(AA296*12+AC296)-(W296*12+Y296)+1,"")</f>
        <v>12</v>
      </c>
      <c r="AG296" s="1359" t="s">
        <v>33</v>
      </c>
      <c r="AH296" s="1365" t="str">
        <f t="shared" ref="AH296" si="771">IFERROR(ROUNDDOWN(ROUND(L294*U296,0),0)*AF296,"")</f>
        <v/>
      </c>
      <c r="AI296" s="1367" t="str">
        <f t="shared" ref="AI296" si="772">IFERROR(ROUNDDOWN(ROUND((L294*(U296-AW294)),0),0)*AF296,"")</f>
        <v/>
      </c>
      <c r="AJ296" s="1369">
        <f>IFERROR(IF(OR(M294="",M295="",M297=""),0,ROUNDDOWN(ROUNDDOWN(ROUND(L294*VLOOKUP(K294,【参考】数式用!$A$5:$AB$37,MATCH("新加算Ⅳ",【参考】数式用!$B$4:$AB$4,0)+1,0),0),0)*AF296*0.5,0)),"")</f>
        <v>0</v>
      </c>
      <c r="AK296" s="1339" t="str">
        <f t="shared" ref="AK296" si="773">IF(T296&lt;&gt;"","新規に適用","")</f>
        <v/>
      </c>
      <c r="AL296" s="1343">
        <f>IFERROR(IF(OR(M297="ベア加算",M297=""),0, IF(OR(T294="新加算Ⅰ",T294="新加算Ⅱ",T294="新加算Ⅲ",T294="新加算Ⅳ"),0,ROUNDDOWN(ROUND(L294*VLOOKUP(K294,【参考】数式用!$A$5:$I$37,MATCH("ベア加算",【参考】数式用!$B$4:$I$4,0)+1,0),0),0)*AF296)),"")</f>
        <v>0</v>
      </c>
      <c r="AM296" s="1313" t="str">
        <f>IF(AND(T296&lt;&gt;"",AM294=""),"新規に適用",IF(AND(T296&lt;&gt;"",AM294&lt;&gt;""),"継続で適用",""))</f>
        <v/>
      </c>
      <c r="AN296" s="1313" t="str">
        <f>IF(AND(T296&lt;&gt;"",AN294=""),"新規に適用",IF(AND(T296&lt;&gt;"",AN294&lt;&gt;""),"継続で適用",""))</f>
        <v/>
      </c>
      <c r="AO296" s="1361"/>
      <c r="AP296" s="1313" t="str">
        <f>IF(AND(T296&lt;&gt;"",AP294=""),"新規に適用",IF(AND(T296&lt;&gt;"",AP294&lt;&gt;""),"継続で適用",""))</f>
        <v/>
      </c>
      <c r="AQ296" s="1317"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13" t="str">
        <f>IF(AND(T296&lt;&gt;"",AR294=""),"新規に適用",IF(AND(T296&lt;&gt;"",AR294&lt;&gt;""),"継続で適用",""))</f>
        <v/>
      </c>
      <c r="AS296" s="1302"/>
      <c r="AT296" s="554"/>
      <c r="AU296" s="1303" t="str">
        <f>IF(K294&lt;&gt;"","V列に色付け","")</f>
        <v/>
      </c>
      <c r="AV296" s="1304"/>
      <c r="AW296" s="1305"/>
      <c r="AX296"/>
      <c r="AY296"/>
      <c r="AZ296"/>
      <c r="BA296"/>
      <c r="BB296"/>
      <c r="BC296"/>
      <c r="BD296"/>
      <c r="BE296"/>
      <c r="BF296"/>
      <c r="BG296"/>
      <c r="BH296"/>
      <c r="BI296"/>
      <c r="BJ296"/>
      <c r="BK296" s="452" t="str">
        <f>G294</f>
        <v/>
      </c>
    </row>
    <row r="297" spans="1:63" ht="30" customHeight="1" thickBot="1">
      <c r="A297" s="1268"/>
      <c r="B297" s="1411"/>
      <c r="C297" s="1412"/>
      <c r="D297" s="1412"/>
      <c r="E297" s="1412"/>
      <c r="F297" s="1413"/>
      <c r="G297" s="1253"/>
      <c r="H297" s="1253"/>
      <c r="I297" s="1253"/>
      <c r="J297" s="1416"/>
      <c r="K297" s="1253"/>
      <c r="L297" s="1277"/>
      <c r="M297" s="553" t="str">
        <f>IF('別紙様式2-2（４・５月分）'!P226="","",'別紙様式2-2（４・５月分）'!P226)</f>
        <v/>
      </c>
      <c r="N297" s="1394"/>
      <c r="O297" s="1374"/>
      <c r="P297" s="1376"/>
      <c r="Q297" s="1378"/>
      <c r="R297" s="1380"/>
      <c r="S297" s="1382"/>
      <c r="T297" s="1384"/>
      <c r="U297" s="1386"/>
      <c r="V297" s="1388"/>
      <c r="W297" s="1390"/>
      <c r="X297" s="1364"/>
      <c r="Y297" s="1390"/>
      <c r="Z297" s="1364"/>
      <c r="AA297" s="1390"/>
      <c r="AB297" s="1364"/>
      <c r="AC297" s="1390"/>
      <c r="AD297" s="1364"/>
      <c r="AE297" s="1364"/>
      <c r="AF297" s="1364"/>
      <c r="AG297" s="1360"/>
      <c r="AH297" s="1366"/>
      <c r="AI297" s="1368"/>
      <c r="AJ297" s="1370"/>
      <c r="AK297" s="1340"/>
      <c r="AL297" s="1344"/>
      <c r="AM297" s="1314"/>
      <c r="AN297" s="1314"/>
      <c r="AO297" s="1362"/>
      <c r="AP297" s="1314"/>
      <c r="AQ297" s="1318"/>
      <c r="AR297" s="1314"/>
      <c r="AS297" s="490"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4"/>
      <c r="AU297" s="1303"/>
      <c r="AV297" s="555" t="str">
        <f>IF('別紙様式2-2（４・５月分）'!N226="","",'別紙様式2-2（４・５月分）'!N226)</f>
        <v/>
      </c>
      <c r="AW297" s="1305"/>
      <c r="AX297"/>
      <c r="AY297"/>
      <c r="AZ297"/>
      <c r="BA297"/>
      <c r="BB297"/>
      <c r="BC297"/>
      <c r="BD297"/>
      <c r="BE297"/>
      <c r="BF297"/>
      <c r="BG297"/>
      <c r="BH297"/>
      <c r="BI297"/>
      <c r="BJ297"/>
      <c r="BK297" s="452" t="str">
        <f>G294</f>
        <v/>
      </c>
    </row>
    <row r="298" spans="1:63" ht="30" customHeight="1">
      <c r="A298" s="1293">
        <v>72</v>
      </c>
      <c r="B298" s="1232" t="str">
        <f>IF(基本情報入力シート!C125="","",基本情報入力シート!C125)</f>
        <v/>
      </c>
      <c r="C298" s="1233"/>
      <c r="D298" s="1233"/>
      <c r="E298" s="1233"/>
      <c r="F298" s="1234"/>
      <c r="G298" s="1251" t="str">
        <f>IF(基本情報入力シート!M125="","",基本情報入力シート!M125)</f>
        <v/>
      </c>
      <c r="H298" s="1251" t="str">
        <f>IF(基本情報入力シート!R125="","",基本情報入力シート!R125)</f>
        <v/>
      </c>
      <c r="I298" s="1251" t="str">
        <f>IF(基本情報入力シート!W125="","",基本情報入力シート!W125)</f>
        <v/>
      </c>
      <c r="J298" s="1414" t="str">
        <f>IF(基本情報入力シート!X125="","",基本情報入力シート!X125)</f>
        <v/>
      </c>
      <c r="K298" s="1251" t="str">
        <f>IF(基本情報入力シート!Y125="","",基本情報入力シート!Y125)</f>
        <v/>
      </c>
      <c r="L298" s="1275" t="str">
        <f>IF(基本情報入力シート!AB125="","",基本情報入力シート!AB125)</f>
        <v/>
      </c>
      <c r="M298" s="550" t="str">
        <f>IF('別紙様式2-2（４・５月分）'!P227="","",'別紙様式2-2（４・５月分）'!P227)</f>
        <v/>
      </c>
      <c r="N298" s="1391" t="str">
        <f>IF(SUM('別紙様式2-2（４・５月分）'!Q227:Q229)=0,"",SUM('別紙様式2-2（４・５月分）'!Q227:Q229))</f>
        <v/>
      </c>
      <c r="O298" s="1395" t="str">
        <f>IFERROR(VLOOKUP('別紙様式2-2（４・５月分）'!AQ227,【参考】数式用!$AR$5:$AS$22,2,FALSE),"")</f>
        <v/>
      </c>
      <c r="P298" s="1396"/>
      <c r="Q298" s="1397"/>
      <c r="R298" s="1401" t="str">
        <f>IFERROR(VLOOKUP(K298,【参考】数式用!$A$5:$AB$37,MATCH(O298,【参考】数式用!$B$4:$AB$4,0)+1,0),"")</f>
        <v/>
      </c>
      <c r="S298" s="1403" t="s">
        <v>2021</v>
      </c>
      <c r="T298" s="1405"/>
      <c r="U298" s="1407" t="str">
        <f>IFERROR(VLOOKUP(K298,【参考】数式用!$A$5:$AB$37,MATCH(T298,【参考】数式用!$B$4:$AB$4,0)+1,0),"")</f>
        <v/>
      </c>
      <c r="V298" s="1409" t="s">
        <v>15</v>
      </c>
      <c r="W298" s="1347">
        <v>6</v>
      </c>
      <c r="X298" s="1349" t="s">
        <v>10</v>
      </c>
      <c r="Y298" s="1347">
        <v>6</v>
      </c>
      <c r="Z298" s="1349" t="s">
        <v>38</v>
      </c>
      <c r="AA298" s="1347">
        <v>7</v>
      </c>
      <c r="AB298" s="1349" t="s">
        <v>10</v>
      </c>
      <c r="AC298" s="1347">
        <v>3</v>
      </c>
      <c r="AD298" s="1349" t="s">
        <v>13</v>
      </c>
      <c r="AE298" s="1349" t="s">
        <v>20</v>
      </c>
      <c r="AF298" s="1349">
        <f>IF(W298&gt;=1,(AA298*12+AC298)-(W298*12+Y298)+1,"")</f>
        <v>10</v>
      </c>
      <c r="AG298" s="1351" t="s">
        <v>33</v>
      </c>
      <c r="AH298" s="1353" t="str">
        <f t="shared" ref="AH298" si="776">IFERROR(ROUNDDOWN(ROUND(L298*U298,0),0)*AF298,"")</f>
        <v/>
      </c>
      <c r="AI298" s="1355" t="str">
        <f t="shared" ref="AI298" si="777">IFERROR(ROUNDDOWN(ROUND((L298*(U298-AW298)),0),0)*AF298,"")</f>
        <v/>
      </c>
      <c r="AJ298" s="1357">
        <f>IFERROR(IF(OR(M298="",M299="",M301=""),0,ROUNDDOWN(ROUNDDOWN(ROUND(L298*VLOOKUP(K298,【参考】数式用!$A$5:$AB$37,MATCH("新加算Ⅳ",【参考】数式用!$B$4:$AB$4,0)+1,0),0),0)*AF298*0.5,0)),"")</f>
        <v>0</v>
      </c>
      <c r="AK298" s="1341"/>
      <c r="AL298" s="1345">
        <f>IFERROR(IF(OR(M301="ベア加算",M301=""),0, IF(OR(T298="新加算Ⅰ",T298="新加算Ⅱ",T298="新加算Ⅲ",T298="新加算Ⅳ"),ROUNDDOWN(ROUND(L298*VLOOKUP(K298,【参考】数式用!$A$5:$I$37,MATCH("ベア加算",【参考】数式用!$B$4:$I$4,0)+1,0),0),0)*AF298,0)),"")</f>
        <v>0</v>
      </c>
      <c r="AM298" s="1331"/>
      <c r="AN298" s="1337"/>
      <c r="AO298" s="1333"/>
      <c r="AP298" s="1333"/>
      <c r="AQ298" s="1335"/>
      <c r="AR298" s="1315"/>
      <c r="AS298" s="465" t="str">
        <f t="shared" ref="AS298" si="778">IF(AU298="","",IF(U298&lt;N298,"！加算の要件上は問題ありませんが、令和６年４・５月と比較して令和６年６月に加算率が下がる計画になっています。",""))</f>
        <v/>
      </c>
      <c r="AT298" s="554"/>
      <c r="AU298" s="1303" t="str">
        <f>IF(K298&lt;&gt;"","V列に色付け","")</f>
        <v/>
      </c>
      <c r="AV298" s="555" t="str">
        <f>IF('別紙様式2-2（４・５月分）'!N227="","",'別紙様式2-2（４・５月分）'!N227)</f>
        <v/>
      </c>
      <c r="AW298" s="1305" t="str">
        <f>IF(SUM('別紙様式2-2（４・５月分）'!O227:O229)=0,"",SUM('別紙様式2-2（４・５月分）'!O227:O229))</f>
        <v/>
      </c>
      <c r="AX298" s="1306" t="str">
        <f>IFERROR(VLOOKUP(K298,【参考】数式用!$AH$2:$AI$34,2,FALSE),"")</f>
        <v/>
      </c>
      <c r="AY298" s="1222" t="s">
        <v>1959</v>
      </c>
      <c r="AZ298" s="1222" t="s">
        <v>1960</v>
      </c>
      <c r="BA298" s="1222" t="s">
        <v>1961</v>
      </c>
      <c r="BB298" s="1222" t="s">
        <v>1962</v>
      </c>
      <c r="BC298" s="1222" t="str">
        <f>IF(AND(O298&lt;&gt;"新加算Ⅰ",O298&lt;&gt;"新加算Ⅱ",O298&lt;&gt;"新加算Ⅲ",O298&lt;&gt;"新加算Ⅳ"),O298,IF(P300&lt;&gt;"",P300,""))</f>
        <v/>
      </c>
      <c r="BD298" s="1222"/>
      <c r="BE298" s="1222" t="str">
        <f t="shared" ref="BE298" si="779">IF(AL298&lt;&gt;0,IF(AM298="○","入力済","未入力"),"")</f>
        <v/>
      </c>
      <c r="BF298" s="1222"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2" t="str">
        <f>IF(OR(T298="新加算Ⅴ（７）",T298="新加算Ⅴ（９）",T298="新加算Ⅴ（10）",T298="新加算Ⅴ（12）",T298="新加算Ⅴ（13）",T298="新加算Ⅴ（14）"),IF(OR(AO298="○",AO298="令和６年度中に満たす"),"入力済","未入力"),"")</f>
        <v/>
      </c>
      <c r="BH298" s="1323" t="str">
        <f t="shared" ref="BH298" si="780">IF(OR(T298="新加算Ⅰ",T298="新加算Ⅱ",T298="新加算Ⅲ",T298="新加算Ⅴ（１）",T298="新加算Ⅴ（３）",T298="新加算Ⅴ（８）"),IF(OR(AP298="○",AP298="令和６年度中に満たす"),"入力済","未入力"),"")</f>
        <v/>
      </c>
      <c r="BI298" s="1325" t="str">
        <f t="shared" ref="BI298" si="781">IF(OR(T298="新加算Ⅰ",T298="新加算Ⅱ",T298="新加算Ⅴ（１）",T298="新加算Ⅴ（２）",T298="新加算Ⅴ（３）",T298="新加算Ⅴ（４）",T298="新加算Ⅴ（５）",T298="新加算Ⅴ（６）",T298="新加算Ⅴ（７）",T298="新加算Ⅴ（９）",T298="新加算Ⅴ（10）",T298="新加算Ⅴ（12）"),1,"")</f>
        <v/>
      </c>
      <c r="BJ298" s="1303" t="str">
        <f>IF(OR(T298="新加算Ⅰ",T298="新加算Ⅴ（１）",T298="新加算Ⅴ（２）",T298="新加算Ⅴ（５）",T298="新加算Ⅴ（７）",T298="新加算Ⅴ（10）"),IF(AR298="","未入力","入力済"),"")</f>
        <v/>
      </c>
      <c r="BK298" s="452" t="str">
        <f>G298</f>
        <v/>
      </c>
    </row>
    <row r="299" spans="1:63" ht="15" customHeight="1">
      <c r="A299" s="1267"/>
      <c r="B299" s="1235"/>
      <c r="C299" s="1236"/>
      <c r="D299" s="1236"/>
      <c r="E299" s="1236"/>
      <c r="F299" s="1237"/>
      <c r="G299" s="1252"/>
      <c r="H299" s="1252"/>
      <c r="I299" s="1252"/>
      <c r="J299" s="1415"/>
      <c r="K299" s="1252"/>
      <c r="L299" s="1276"/>
      <c r="M299" s="1371" t="str">
        <f>IF('別紙様式2-2（４・５月分）'!P228="","",'別紙様式2-2（４・５月分）'!P228)</f>
        <v/>
      </c>
      <c r="N299" s="1392"/>
      <c r="O299" s="1398"/>
      <c r="P299" s="1399"/>
      <c r="Q299" s="1400"/>
      <c r="R299" s="1402"/>
      <c r="S299" s="1404"/>
      <c r="T299" s="1406"/>
      <c r="U299" s="1408"/>
      <c r="V299" s="1410"/>
      <c r="W299" s="1348"/>
      <c r="X299" s="1350"/>
      <c r="Y299" s="1348"/>
      <c r="Z299" s="1350"/>
      <c r="AA299" s="1348"/>
      <c r="AB299" s="1350"/>
      <c r="AC299" s="1348"/>
      <c r="AD299" s="1350"/>
      <c r="AE299" s="1350"/>
      <c r="AF299" s="1350"/>
      <c r="AG299" s="1352"/>
      <c r="AH299" s="1354"/>
      <c r="AI299" s="1356"/>
      <c r="AJ299" s="1358"/>
      <c r="AK299" s="1342"/>
      <c r="AL299" s="1346"/>
      <c r="AM299" s="1332"/>
      <c r="AN299" s="1338"/>
      <c r="AO299" s="1334"/>
      <c r="AP299" s="1334"/>
      <c r="AQ299" s="1336"/>
      <c r="AR299" s="1316"/>
      <c r="AS299" s="1302"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4"/>
      <c r="AU299" s="1303"/>
      <c r="AV299" s="1304" t="str">
        <f>IF('別紙様式2-2（４・５月分）'!N228="","",'別紙様式2-2（４・５月分）'!N228)</f>
        <v/>
      </c>
      <c r="AW299" s="1305"/>
      <c r="AX299" s="1306"/>
      <c r="AY299" s="1222"/>
      <c r="AZ299" s="1222"/>
      <c r="BA299" s="1222"/>
      <c r="BB299" s="1222"/>
      <c r="BC299" s="1222"/>
      <c r="BD299" s="1222"/>
      <c r="BE299" s="1222"/>
      <c r="BF299" s="1222"/>
      <c r="BG299" s="1222"/>
      <c r="BH299" s="1324"/>
      <c r="BI299" s="1326"/>
      <c r="BJ299" s="1303"/>
      <c r="BK299" s="452" t="str">
        <f>G298</f>
        <v/>
      </c>
    </row>
    <row r="300" spans="1:63" ht="15" customHeight="1">
      <c r="A300" s="1295"/>
      <c r="B300" s="1235"/>
      <c r="C300" s="1236"/>
      <c r="D300" s="1236"/>
      <c r="E300" s="1236"/>
      <c r="F300" s="1237"/>
      <c r="G300" s="1252"/>
      <c r="H300" s="1252"/>
      <c r="I300" s="1252"/>
      <c r="J300" s="1415"/>
      <c r="K300" s="1252"/>
      <c r="L300" s="1276"/>
      <c r="M300" s="1372"/>
      <c r="N300" s="1393"/>
      <c r="O300" s="1373" t="s">
        <v>2025</v>
      </c>
      <c r="P300" s="1375" t="str">
        <f>IFERROR(VLOOKUP('別紙様式2-2（４・５月分）'!AQ227,【参考】数式用!$AR$5:$AT$22,3,FALSE),"")</f>
        <v/>
      </c>
      <c r="Q300" s="1377" t="s">
        <v>2036</v>
      </c>
      <c r="R300" s="1379" t="str">
        <f>IFERROR(VLOOKUP(K298,【参考】数式用!$A$5:$AB$37,MATCH(P300,【参考】数式用!$B$4:$AB$4,0)+1,0),"")</f>
        <v/>
      </c>
      <c r="S300" s="1381" t="s">
        <v>161</v>
      </c>
      <c r="T300" s="1383"/>
      <c r="U300" s="1385" t="str">
        <f>IFERROR(VLOOKUP(K298,【参考】数式用!$A$5:$AB$37,MATCH(T300,【参考】数式用!$B$4:$AB$4,0)+1,0),"")</f>
        <v/>
      </c>
      <c r="V300" s="1387" t="s">
        <v>15</v>
      </c>
      <c r="W300" s="1389">
        <v>7</v>
      </c>
      <c r="X300" s="1363" t="s">
        <v>10</v>
      </c>
      <c r="Y300" s="1389">
        <v>4</v>
      </c>
      <c r="Z300" s="1363" t="s">
        <v>38</v>
      </c>
      <c r="AA300" s="1389">
        <v>8</v>
      </c>
      <c r="AB300" s="1363" t="s">
        <v>10</v>
      </c>
      <c r="AC300" s="1389">
        <v>3</v>
      </c>
      <c r="AD300" s="1363" t="s">
        <v>13</v>
      </c>
      <c r="AE300" s="1363" t="s">
        <v>20</v>
      </c>
      <c r="AF300" s="1363">
        <f>IF(W300&gt;=1,(AA300*12+AC300)-(W300*12+Y300)+1,"")</f>
        <v>12</v>
      </c>
      <c r="AG300" s="1359" t="s">
        <v>33</v>
      </c>
      <c r="AH300" s="1365" t="str">
        <f t="shared" ref="AH300" si="783">IFERROR(ROUNDDOWN(ROUND(L298*U300,0),0)*AF300,"")</f>
        <v/>
      </c>
      <c r="AI300" s="1367" t="str">
        <f t="shared" ref="AI300" si="784">IFERROR(ROUNDDOWN(ROUND((L298*(U300-AW298)),0),0)*AF300,"")</f>
        <v/>
      </c>
      <c r="AJ300" s="1369">
        <f>IFERROR(IF(OR(M298="",M299="",M301=""),0,ROUNDDOWN(ROUNDDOWN(ROUND(L298*VLOOKUP(K298,【参考】数式用!$A$5:$AB$37,MATCH("新加算Ⅳ",【参考】数式用!$B$4:$AB$4,0)+1,0),0),0)*AF300*0.5,0)),"")</f>
        <v>0</v>
      </c>
      <c r="AK300" s="1339" t="str">
        <f t="shared" ref="AK300" si="785">IF(T300&lt;&gt;"","新規に適用","")</f>
        <v/>
      </c>
      <c r="AL300" s="1343">
        <f>IFERROR(IF(OR(M301="ベア加算",M301=""),0, IF(OR(T298="新加算Ⅰ",T298="新加算Ⅱ",T298="新加算Ⅲ",T298="新加算Ⅳ"),0,ROUNDDOWN(ROUND(L298*VLOOKUP(K298,【参考】数式用!$A$5:$I$37,MATCH("ベア加算",【参考】数式用!$B$4:$I$4,0)+1,0),0),0)*AF300)),"")</f>
        <v>0</v>
      </c>
      <c r="AM300" s="1313" t="str">
        <f>IF(AND(T300&lt;&gt;"",AM298=""),"新規に適用",IF(AND(T300&lt;&gt;"",AM298&lt;&gt;""),"継続で適用",""))</f>
        <v/>
      </c>
      <c r="AN300" s="1313" t="str">
        <f>IF(AND(T300&lt;&gt;"",AN298=""),"新規に適用",IF(AND(T300&lt;&gt;"",AN298&lt;&gt;""),"継続で適用",""))</f>
        <v/>
      </c>
      <c r="AO300" s="1361"/>
      <c r="AP300" s="1313" t="str">
        <f>IF(AND(T300&lt;&gt;"",AP298=""),"新規に適用",IF(AND(T300&lt;&gt;"",AP298&lt;&gt;""),"継続で適用",""))</f>
        <v/>
      </c>
      <c r="AQ300" s="1317" t="str">
        <f t="shared" si="774"/>
        <v/>
      </c>
      <c r="AR300" s="1313" t="str">
        <f>IF(AND(T300&lt;&gt;"",AR298=""),"新規に適用",IF(AND(T300&lt;&gt;"",AR298&lt;&gt;""),"継続で適用",""))</f>
        <v/>
      </c>
      <c r="AS300" s="1302"/>
      <c r="AT300" s="554"/>
      <c r="AU300" s="1303" t="str">
        <f>IF(K298&lt;&gt;"","V列に色付け","")</f>
        <v/>
      </c>
      <c r="AV300" s="1304"/>
      <c r="AW300" s="1305"/>
      <c r="AX300"/>
      <c r="AY300"/>
      <c r="AZ300"/>
      <c r="BA300"/>
      <c r="BB300"/>
      <c r="BC300"/>
      <c r="BD300"/>
      <c r="BE300"/>
      <c r="BF300"/>
      <c r="BG300"/>
      <c r="BH300"/>
      <c r="BI300"/>
      <c r="BJ300"/>
      <c r="BK300" s="452" t="str">
        <f>G298</f>
        <v/>
      </c>
    </row>
    <row r="301" spans="1:63" ht="30" customHeight="1" thickBot="1">
      <c r="A301" s="1268"/>
      <c r="B301" s="1411"/>
      <c r="C301" s="1412"/>
      <c r="D301" s="1412"/>
      <c r="E301" s="1412"/>
      <c r="F301" s="1413"/>
      <c r="G301" s="1253"/>
      <c r="H301" s="1253"/>
      <c r="I301" s="1253"/>
      <c r="J301" s="1416"/>
      <c r="K301" s="1253"/>
      <c r="L301" s="1277"/>
      <c r="M301" s="553" t="str">
        <f>IF('別紙様式2-2（４・５月分）'!P229="","",'別紙様式2-2（４・５月分）'!P229)</f>
        <v/>
      </c>
      <c r="N301" s="1394"/>
      <c r="O301" s="1374"/>
      <c r="P301" s="1376"/>
      <c r="Q301" s="1378"/>
      <c r="R301" s="1380"/>
      <c r="S301" s="1382"/>
      <c r="T301" s="1384"/>
      <c r="U301" s="1386"/>
      <c r="V301" s="1388"/>
      <c r="W301" s="1390"/>
      <c r="X301" s="1364"/>
      <c r="Y301" s="1390"/>
      <c r="Z301" s="1364"/>
      <c r="AA301" s="1390"/>
      <c r="AB301" s="1364"/>
      <c r="AC301" s="1390"/>
      <c r="AD301" s="1364"/>
      <c r="AE301" s="1364"/>
      <c r="AF301" s="1364"/>
      <c r="AG301" s="1360"/>
      <c r="AH301" s="1366"/>
      <c r="AI301" s="1368"/>
      <c r="AJ301" s="1370"/>
      <c r="AK301" s="1340"/>
      <c r="AL301" s="1344"/>
      <c r="AM301" s="1314"/>
      <c r="AN301" s="1314"/>
      <c r="AO301" s="1362"/>
      <c r="AP301" s="1314"/>
      <c r="AQ301" s="1318"/>
      <c r="AR301" s="1314"/>
      <c r="AS301" s="490"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4"/>
      <c r="AU301" s="1303"/>
      <c r="AV301" s="555" t="str">
        <f>IF('別紙様式2-2（４・５月分）'!N229="","",'別紙様式2-2（４・５月分）'!N229)</f>
        <v/>
      </c>
      <c r="AW301" s="1305"/>
      <c r="AX301"/>
      <c r="AY301"/>
      <c r="AZ301"/>
      <c r="BA301"/>
      <c r="BB301"/>
      <c r="BC301"/>
      <c r="BD301"/>
      <c r="BE301"/>
      <c r="BF301"/>
      <c r="BG301"/>
      <c r="BH301"/>
      <c r="BI301"/>
      <c r="BJ301"/>
      <c r="BK301" s="452" t="str">
        <f>G298</f>
        <v/>
      </c>
    </row>
    <row r="302" spans="1:63" ht="30" customHeight="1">
      <c r="A302" s="1266">
        <v>73</v>
      </c>
      <c r="B302" s="1235" t="str">
        <f>IF(基本情報入力シート!C126="","",基本情報入力シート!C126)</f>
        <v/>
      </c>
      <c r="C302" s="1236"/>
      <c r="D302" s="1236"/>
      <c r="E302" s="1236"/>
      <c r="F302" s="1237"/>
      <c r="G302" s="1252" t="str">
        <f>IF(基本情報入力シート!M126="","",基本情報入力シート!M126)</f>
        <v/>
      </c>
      <c r="H302" s="1252" t="str">
        <f>IF(基本情報入力シート!R126="","",基本情報入力シート!R126)</f>
        <v/>
      </c>
      <c r="I302" s="1252" t="str">
        <f>IF(基本情報入力シート!W126="","",基本情報入力シート!W126)</f>
        <v/>
      </c>
      <c r="J302" s="1415" t="str">
        <f>IF(基本情報入力シート!X126="","",基本情報入力シート!X126)</f>
        <v/>
      </c>
      <c r="K302" s="1252" t="str">
        <f>IF(基本情報入力シート!Y126="","",基本情報入力シート!Y126)</f>
        <v/>
      </c>
      <c r="L302" s="1276" t="str">
        <f>IF(基本情報入力シート!AB126="","",基本情報入力シート!AB126)</f>
        <v/>
      </c>
      <c r="M302" s="550" t="str">
        <f>IF('別紙様式2-2（４・５月分）'!P230="","",'別紙様式2-2（４・５月分）'!P230)</f>
        <v/>
      </c>
      <c r="N302" s="1391" t="str">
        <f>IF(SUM('別紙様式2-2（４・５月分）'!Q230:Q232)=0,"",SUM('別紙様式2-2（４・５月分）'!Q230:Q232))</f>
        <v/>
      </c>
      <c r="O302" s="1395" t="str">
        <f>IFERROR(VLOOKUP('別紙様式2-2（４・５月分）'!AQ230,【参考】数式用!$AR$5:$AS$22,2,FALSE),"")</f>
        <v/>
      </c>
      <c r="P302" s="1396"/>
      <c r="Q302" s="1397"/>
      <c r="R302" s="1401" t="str">
        <f>IFERROR(VLOOKUP(K302,【参考】数式用!$A$5:$AB$37,MATCH(O302,【参考】数式用!$B$4:$AB$4,0)+1,0),"")</f>
        <v/>
      </c>
      <c r="S302" s="1403" t="s">
        <v>2021</v>
      </c>
      <c r="T302" s="1405"/>
      <c r="U302" s="1407" t="str">
        <f>IFERROR(VLOOKUP(K302,【参考】数式用!$A$5:$AB$37,MATCH(T302,【参考】数式用!$B$4:$AB$4,0)+1,0),"")</f>
        <v/>
      </c>
      <c r="V302" s="1409" t="s">
        <v>15</v>
      </c>
      <c r="W302" s="1347">
        <v>6</v>
      </c>
      <c r="X302" s="1349" t="s">
        <v>10</v>
      </c>
      <c r="Y302" s="1347">
        <v>6</v>
      </c>
      <c r="Z302" s="1349" t="s">
        <v>38</v>
      </c>
      <c r="AA302" s="1347">
        <v>7</v>
      </c>
      <c r="AB302" s="1349" t="s">
        <v>10</v>
      </c>
      <c r="AC302" s="1347">
        <v>3</v>
      </c>
      <c r="AD302" s="1349" t="s">
        <v>13</v>
      </c>
      <c r="AE302" s="1349" t="s">
        <v>20</v>
      </c>
      <c r="AF302" s="1349">
        <f>IF(W302&gt;=1,(AA302*12+AC302)-(W302*12+Y302)+1,"")</f>
        <v>10</v>
      </c>
      <c r="AG302" s="1351" t="s">
        <v>33</v>
      </c>
      <c r="AH302" s="1353" t="str">
        <f t="shared" ref="AH302" si="787">IFERROR(ROUNDDOWN(ROUND(L302*U302,0),0)*AF302,"")</f>
        <v/>
      </c>
      <c r="AI302" s="1355" t="str">
        <f t="shared" ref="AI302" si="788">IFERROR(ROUNDDOWN(ROUND((L302*(U302-AW302)),0),0)*AF302,"")</f>
        <v/>
      </c>
      <c r="AJ302" s="1357">
        <f>IFERROR(IF(OR(M302="",M303="",M305=""),0,ROUNDDOWN(ROUNDDOWN(ROUND(L302*VLOOKUP(K302,【参考】数式用!$A$5:$AB$37,MATCH("新加算Ⅳ",【参考】数式用!$B$4:$AB$4,0)+1,0),0),0)*AF302*0.5,0)),"")</f>
        <v>0</v>
      </c>
      <c r="AK302" s="1341"/>
      <c r="AL302" s="1345">
        <f>IFERROR(IF(OR(M305="ベア加算",M305=""),0, IF(OR(T302="新加算Ⅰ",T302="新加算Ⅱ",T302="新加算Ⅲ",T302="新加算Ⅳ"),ROUNDDOWN(ROUND(L302*VLOOKUP(K302,【参考】数式用!$A$5:$I$37,MATCH("ベア加算",【参考】数式用!$B$4:$I$4,0)+1,0),0),0)*AF302,0)),"")</f>
        <v>0</v>
      </c>
      <c r="AM302" s="1331"/>
      <c r="AN302" s="1337"/>
      <c r="AO302" s="1333"/>
      <c r="AP302" s="1333"/>
      <c r="AQ302" s="1335"/>
      <c r="AR302" s="1315"/>
      <c r="AS302" s="465" t="str">
        <f t="shared" ref="AS302" si="789">IF(AU302="","",IF(U302&lt;N302,"！加算の要件上は問題ありませんが、令和６年４・５月と比較して令和６年６月に加算率が下がる計画になっています。",""))</f>
        <v/>
      </c>
      <c r="AT302" s="554"/>
      <c r="AU302" s="1303" t="str">
        <f>IF(K302&lt;&gt;"","V列に色付け","")</f>
        <v/>
      </c>
      <c r="AV302" s="555" t="str">
        <f>IF('別紙様式2-2（４・５月分）'!N230="","",'別紙様式2-2（４・５月分）'!N230)</f>
        <v/>
      </c>
      <c r="AW302" s="1305" t="str">
        <f>IF(SUM('別紙様式2-2（４・５月分）'!O230:O232)=0,"",SUM('別紙様式2-2（４・５月分）'!O230:O232))</f>
        <v/>
      </c>
      <c r="AX302" s="1306" t="str">
        <f>IFERROR(VLOOKUP(K302,【参考】数式用!$AH$2:$AI$34,2,FALSE),"")</f>
        <v/>
      </c>
      <c r="AY302" s="1222" t="s">
        <v>1959</v>
      </c>
      <c r="AZ302" s="1222" t="s">
        <v>1960</v>
      </c>
      <c r="BA302" s="1222" t="s">
        <v>1961</v>
      </c>
      <c r="BB302" s="1222" t="s">
        <v>1962</v>
      </c>
      <c r="BC302" s="1222" t="str">
        <f>IF(AND(O302&lt;&gt;"新加算Ⅰ",O302&lt;&gt;"新加算Ⅱ",O302&lt;&gt;"新加算Ⅲ",O302&lt;&gt;"新加算Ⅳ"),O302,IF(P304&lt;&gt;"",P304,""))</f>
        <v/>
      </c>
      <c r="BD302" s="1222"/>
      <c r="BE302" s="1222" t="str">
        <f t="shared" ref="BE302" si="790">IF(AL302&lt;&gt;0,IF(AM302="○","入力済","未入力"),"")</f>
        <v/>
      </c>
      <c r="BF302" s="1222"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2" t="str">
        <f>IF(OR(T302="新加算Ⅴ（７）",T302="新加算Ⅴ（９）",T302="新加算Ⅴ（10）",T302="新加算Ⅴ（12）",T302="新加算Ⅴ（13）",T302="新加算Ⅴ（14）"),IF(OR(AO302="○",AO302="令和６年度中に満たす"),"入力済","未入力"),"")</f>
        <v/>
      </c>
      <c r="BH302" s="1323" t="str">
        <f t="shared" ref="BH302" si="791">IF(OR(T302="新加算Ⅰ",T302="新加算Ⅱ",T302="新加算Ⅲ",T302="新加算Ⅴ（１）",T302="新加算Ⅴ（３）",T302="新加算Ⅴ（８）"),IF(OR(AP302="○",AP302="令和６年度中に満たす"),"入力済","未入力"),"")</f>
        <v/>
      </c>
      <c r="BI302" s="1325" t="str">
        <f t="shared" ref="BI302" si="792">IF(OR(T302="新加算Ⅰ",T302="新加算Ⅱ",T302="新加算Ⅴ（１）",T302="新加算Ⅴ（２）",T302="新加算Ⅴ（３）",T302="新加算Ⅴ（４）",T302="新加算Ⅴ（５）",T302="新加算Ⅴ（６）",T302="新加算Ⅴ（７）",T302="新加算Ⅴ（９）",T302="新加算Ⅴ（10）",T302="新加算Ⅴ（12）"),1,"")</f>
        <v/>
      </c>
      <c r="BJ302" s="1303" t="str">
        <f>IF(OR(T302="新加算Ⅰ",T302="新加算Ⅴ（１）",T302="新加算Ⅴ（２）",T302="新加算Ⅴ（５）",T302="新加算Ⅴ（７）",T302="新加算Ⅴ（10）"),IF(AR302="","未入力","入力済"),"")</f>
        <v/>
      </c>
      <c r="BK302" s="452" t="str">
        <f>G302</f>
        <v/>
      </c>
    </row>
    <row r="303" spans="1:63" ht="15" customHeight="1">
      <c r="A303" s="1267"/>
      <c r="B303" s="1235"/>
      <c r="C303" s="1236"/>
      <c r="D303" s="1236"/>
      <c r="E303" s="1236"/>
      <c r="F303" s="1237"/>
      <c r="G303" s="1252"/>
      <c r="H303" s="1252"/>
      <c r="I303" s="1252"/>
      <c r="J303" s="1415"/>
      <c r="K303" s="1252"/>
      <c r="L303" s="1276"/>
      <c r="M303" s="1371" t="str">
        <f>IF('別紙様式2-2（４・５月分）'!P231="","",'別紙様式2-2（４・５月分）'!P231)</f>
        <v/>
      </c>
      <c r="N303" s="1392"/>
      <c r="O303" s="1398"/>
      <c r="P303" s="1399"/>
      <c r="Q303" s="1400"/>
      <c r="R303" s="1402"/>
      <c r="S303" s="1404"/>
      <c r="T303" s="1406"/>
      <c r="U303" s="1408"/>
      <c r="V303" s="1410"/>
      <c r="W303" s="1348"/>
      <c r="X303" s="1350"/>
      <c r="Y303" s="1348"/>
      <c r="Z303" s="1350"/>
      <c r="AA303" s="1348"/>
      <c r="AB303" s="1350"/>
      <c r="AC303" s="1348"/>
      <c r="AD303" s="1350"/>
      <c r="AE303" s="1350"/>
      <c r="AF303" s="1350"/>
      <c r="AG303" s="1352"/>
      <c r="AH303" s="1354"/>
      <c r="AI303" s="1356"/>
      <c r="AJ303" s="1358"/>
      <c r="AK303" s="1342"/>
      <c r="AL303" s="1346"/>
      <c r="AM303" s="1332"/>
      <c r="AN303" s="1338"/>
      <c r="AO303" s="1334"/>
      <c r="AP303" s="1334"/>
      <c r="AQ303" s="1336"/>
      <c r="AR303" s="1316"/>
      <c r="AS303" s="1302"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4"/>
      <c r="AU303" s="1303"/>
      <c r="AV303" s="1304" t="str">
        <f>IF('別紙様式2-2（４・５月分）'!N231="","",'別紙様式2-2（４・５月分）'!N231)</f>
        <v/>
      </c>
      <c r="AW303" s="1305"/>
      <c r="AX303" s="1306"/>
      <c r="AY303" s="1222"/>
      <c r="AZ303" s="1222"/>
      <c r="BA303" s="1222"/>
      <c r="BB303" s="1222"/>
      <c r="BC303" s="1222"/>
      <c r="BD303" s="1222"/>
      <c r="BE303" s="1222"/>
      <c r="BF303" s="1222"/>
      <c r="BG303" s="1222"/>
      <c r="BH303" s="1324"/>
      <c r="BI303" s="1326"/>
      <c r="BJ303" s="1303"/>
      <c r="BK303" s="452" t="str">
        <f>G302</f>
        <v/>
      </c>
    </row>
    <row r="304" spans="1:63" ht="15" customHeight="1">
      <c r="A304" s="1295"/>
      <c r="B304" s="1235"/>
      <c r="C304" s="1236"/>
      <c r="D304" s="1236"/>
      <c r="E304" s="1236"/>
      <c r="F304" s="1237"/>
      <c r="G304" s="1252"/>
      <c r="H304" s="1252"/>
      <c r="I304" s="1252"/>
      <c r="J304" s="1415"/>
      <c r="K304" s="1252"/>
      <c r="L304" s="1276"/>
      <c r="M304" s="1372"/>
      <c r="N304" s="1393"/>
      <c r="O304" s="1373" t="s">
        <v>2025</v>
      </c>
      <c r="P304" s="1375" t="str">
        <f>IFERROR(VLOOKUP('別紙様式2-2（４・５月分）'!AQ230,【参考】数式用!$AR$5:$AT$22,3,FALSE),"")</f>
        <v/>
      </c>
      <c r="Q304" s="1377" t="s">
        <v>2036</v>
      </c>
      <c r="R304" s="1379" t="str">
        <f>IFERROR(VLOOKUP(K302,【参考】数式用!$A$5:$AB$37,MATCH(P304,【参考】数式用!$B$4:$AB$4,0)+1,0),"")</f>
        <v/>
      </c>
      <c r="S304" s="1381" t="s">
        <v>161</v>
      </c>
      <c r="T304" s="1383"/>
      <c r="U304" s="1385" t="str">
        <f>IFERROR(VLOOKUP(K302,【参考】数式用!$A$5:$AB$37,MATCH(T304,【参考】数式用!$B$4:$AB$4,0)+1,0),"")</f>
        <v/>
      </c>
      <c r="V304" s="1387" t="s">
        <v>15</v>
      </c>
      <c r="W304" s="1389">
        <v>7</v>
      </c>
      <c r="X304" s="1363" t="s">
        <v>10</v>
      </c>
      <c r="Y304" s="1389">
        <v>4</v>
      </c>
      <c r="Z304" s="1363" t="s">
        <v>38</v>
      </c>
      <c r="AA304" s="1389">
        <v>8</v>
      </c>
      <c r="AB304" s="1363" t="s">
        <v>10</v>
      </c>
      <c r="AC304" s="1389">
        <v>3</v>
      </c>
      <c r="AD304" s="1363" t="s">
        <v>13</v>
      </c>
      <c r="AE304" s="1363" t="s">
        <v>20</v>
      </c>
      <c r="AF304" s="1363">
        <f>IF(W304&gt;=1,(AA304*12+AC304)-(W304*12+Y304)+1,"")</f>
        <v>12</v>
      </c>
      <c r="AG304" s="1359" t="s">
        <v>33</v>
      </c>
      <c r="AH304" s="1365" t="str">
        <f t="shared" ref="AH304" si="794">IFERROR(ROUNDDOWN(ROUND(L302*U304,0),0)*AF304,"")</f>
        <v/>
      </c>
      <c r="AI304" s="1367" t="str">
        <f t="shared" ref="AI304" si="795">IFERROR(ROUNDDOWN(ROUND((L302*(U304-AW302)),0),0)*AF304,"")</f>
        <v/>
      </c>
      <c r="AJ304" s="1369">
        <f>IFERROR(IF(OR(M302="",M303="",M305=""),0,ROUNDDOWN(ROUNDDOWN(ROUND(L302*VLOOKUP(K302,【参考】数式用!$A$5:$AB$37,MATCH("新加算Ⅳ",【参考】数式用!$B$4:$AB$4,0)+1,0),0),0)*AF304*0.5,0)),"")</f>
        <v>0</v>
      </c>
      <c r="AK304" s="1339" t="str">
        <f t="shared" ref="AK304" si="796">IF(T304&lt;&gt;"","新規に適用","")</f>
        <v/>
      </c>
      <c r="AL304" s="1343">
        <f>IFERROR(IF(OR(M305="ベア加算",M305=""),0, IF(OR(T302="新加算Ⅰ",T302="新加算Ⅱ",T302="新加算Ⅲ",T302="新加算Ⅳ"),0,ROUNDDOWN(ROUND(L302*VLOOKUP(K302,【参考】数式用!$A$5:$I$37,MATCH("ベア加算",【参考】数式用!$B$4:$I$4,0)+1,0),0),0)*AF304)),"")</f>
        <v>0</v>
      </c>
      <c r="AM304" s="1313" t="str">
        <f>IF(AND(T304&lt;&gt;"",AM302=""),"新規に適用",IF(AND(T304&lt;&gt;"",AM302&lt;&gt;""),"継続で適用",""))</f>
        <v/>
      </c>
      <c r="AN304" s="1313" t="str">
        <f>IF(AND(T304&lt;&gt;"",AN302=""),"新規に適用",IF(AND(T304&lt;&gt;"",AN302&lt;&gt;""),"継続で適用",""))</f>
        <v/>
      </c>
      <c r="AO304" s="1361"/>
      <c r="AP304" s="1313" t="str">
        <f>IF(AND(T304&lt;&gt;"",AP302=""),"新規に適用",IF(AND(T304&lt;&gt;"",AP302&lt;&gt;""),"継続で適用",""))</f>
        <v/>
      </c>
      <c r="AQ304" s="1317" t="str">
        <f t="shared" si="774"/>
        <v/>
      </c>
      <c r="AR304" s="1313" t="str">
        <f>IF(AND(T304&lt;&gt;"",AR302=""),"新規に適用",IF(AND(T304&lt;&gt;"",AR302&lt;&gt;""),"継続で適用",""))</f>
        <v/>
      </c>
      <c r="AS304" s="1302"/>
      <c r="AT304" s="554"/>
      <c r="AU304" s="1303" t="str">
        <f>IF(K302&lt;&gt;"","V列に色付け","")</f>
        <v/>
      </c>
      <c r="AV304" s="1304"/>
      <c r="AW304" s="1305"/>
      <c r="AX304"/>
      <c r="AY304"/>
      <c r="AZ304"/>
      <c r="BA304"/>
      <c r="BB304"/>
      <c r="BC304"/>
      <c r="BD304"/>
      <c r="BE304"/>
      <c r="BF304"/>
      <c r="BG304"/>
      <c r="BH304"/>
      <c r="BI304"/>
      <c r="BJ304"/>
      <c r="BK304" s="452" t="str">
        <f>G302</f>
        <v/>
      </c>
    </row>
    <row r="305" spans="1:63" ht="30" customHeight="1" thickBot="1">
      <c r="A305" s="1268"/>
      <c r="B305" s="1411"/>
      <c r="C305" s="1412"/>
      <c r="D305" s="1412"/>
      <c r="E305" s="1412"/>
      <c r="F305" s="1413"/>
      <c r="G305" s="1253"/>
      <c r="H305" s="1253"/>
      <c r="I305" s="1253"/>
      <c r="J305" s="1416"/>
      <c r="K305" s="1253"/>
      <c r="L305" s="1277"/>
      <c r="M305" s="553" t="str">
        <f>IF('別紙様式2-2（４・５月分）'!P232="","",'別紙様式2-2（４・５月分）'!P232)</f>
        <v/>
      </c>
      <c r="N305" s="1394"/>
      <c r="O305" s="1374"/>
      <c r="P305" s="1376"/>
      <c r="Q305" s="1378"/>
      <c r="R305" s="1380"/>
      <c r="S305" s="1382"/>
      <c r="T305" s="1384"/>
      <c r="U305" s="1386"/>
      <c r="V305" s="1388"/>
      <c r="W305" s="1390"/>
      <c r="X305" s="1364"/>
      <c r="Y305" s="1390"/>
      <c r="Z305" s="1364"/>
      <c r="AA305" s="1390"/>
      <c r="AB305" s="1364"/>
      <c r="AC305" s="1390"/>
      <c r="AD305" s="1364"/>
      <c r="AE305" s="1364"/>
      <c r="AF305" s="1364"/>
      <c r="AG305" s="1360"/>
      <c r="AH305" s="1366"/>
      <c r="AI305" s="1368"/>
      <c r="AJ305" s="1370"/>
      <c r="AK305" s="1340"/>
      <c r="AL305" s="1344"/>
      <c r="AM305" s="1314"/>
      <c r="AN305" s="1314"/>
      <c r="AO305" s="1362"/>
      <c r="AP305" s="1314"/>
      <c r="AQ305" s="1318"/>
      <c r="AR305" s="1314"/>
      <c r="AS305" s="490"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4"/>
      <c r="AU305" s="1303"/>
      <c r="AV305" s="555" t="str">
        <f>IF('別紙様式2-2（４・５月分）'!N232="","",'別紙様式2-2（４・５月分）'!N232)</f>
        <v/>
      </c>
      <c r="AW305" s="1305"/>
      <c r="AX305"/>
      <c r="AY305"/>
      <c r="AZ305"/>
      <c r="BA305"/>
      <c r="BB305"/>
      <c r="BC305"/>
      <c r="BD305"/>
      <c r="BE305"/>
      <c r="BF305"/>
      <c r="BG305"/>
      <c r="BH305"/>
      <c r="BI305"/>
      <c r="BJ305"/>
      <c r="BK305" s="452" t="str">
        <f>G302</f>
        <v/>
      </c>
    </row>
    <row r="306" spans="1:63" ht="30" customHeight="1">
      <c r="A306" s="1293">
        <v>74</v>
      </c>
      <c r="B306" s="1235" t="str">
        <f>IF(基本情報入力シート!C127="","",基本情報入力シート!C127)</f>
        <v/>
      </c>
      <c r="C306" s="1236"/>
      <c r="D306" s="1236"/>
      <c r="E306" s="1236"/>
      <c r="F306" s="1237"/>
      <c r="G306" s="1252" t="str">
        <f>IF(基本情報入力シート!M127="","",基本情報入力シート!M127)</f>
        <v/>
      </c>
      <c r="H306" s="1252" t="str">
        <f>IF(基本情報入力シート!R127="","",基本情報入力シート!R127)</f>
        <v/>
      </c>
      <c r="I306" s="1252" t="str">
        <f>IF(基本情報入力シート!W127="","",基本情報入力シート!W127)</f>
        <v/>
      </c>
      <c r="J306" s="1415" t="str">
        <f>IF(基本情報入力シート!X127="","",基本情報入力シート!X127)</f>
        <v/>
      </c>
      <c r="K306" s="1252" t="str">
        <f>IF(基本情報入力シート!Y127="","",基本情報入力シート!Y127)</f>
        <v/>
      </c>
      <c r="L306" s="1276" t="str">
        <f>IF(基本情報入力シート!AB127="","",基本情報入力シート!AB127)</f>
        <v/>
      </c>
      <c r="M306" s="550" t="str">
        <f>IF('別紙様式2-2（４・５月分）'!P233="","",'別紙様式2-2（４・５月分）'!P233)</f>
        <v/>
      </c>
      <c r="N306" s="1391" t="str">
        <f>IF(SUM('別紙様式2-2（４・５月分）'!Q233:Q235)=0,"",SUM('別紙様式2-2（４・５月分）'!Q233:Q235))</f>
        <v/>
      </c>
      <c r="O306" s="1395" t="str">
        <f>IFERROR(VLOOKUP('別紙様式2-2（４・５月分）'!AQ233,【参考】数式用!$AR$5:$AS$22,2,FALSE),"")</f>
        <v/>
      </c>
      <c r="P306" s="1396"/>
      <c r="Q306" s="1397"/>
      <c r="R306" s="1401" t="str">
        <f>IFERROR(VLOOKUP(K306,【参考】数式用!$A$5:$AB$37,MATCH(O306,【参考】数式用!$B$4:$AB$4,0)+1,0),"")</f>
        <v/>
      </c>
      <c r="S306" s="1403" t="s">
        <v>2021</v>
      </c>
      <c r="T306" s="1405"/>
      <c r="U306" s="1407" t="str">
        <f>IFERROR(VLOOKUP(K306,【参考】数式用!$A$5:$AB$37,MATCH(T306,【参考】数式用!$B$4:$AB$4,0)+1,0),"")</f>
        <v/>
      </c>
      <c r="V306" s="1409" t="s">
        <v>15</v>
      </c>
      <c r="W306" s="1347">
        <v>6</v>
      </c>
      <c r="X306" s="1349" t="s">
        <v>10</v>
      </c>
      <c r="Y306" s="1347">
        <v>6</v>
      </c>
      <c r="Z306" s="1349" t="s">
        <v>38</v>
      </c>
      <c r="AA306" s="1347">
        <v>7</v>
      </c>
      <c r="AB306" s="1349" t="s">
        <v>10</v>
      </c>
      <c r="AC306" s="1347">
        <v>3</v>
      </c>
      <c r="AD306" s="1349" t="s">
        <v>13</v>
      </c>
      <c r="AE306" s="1349" t="s">
        <v>20</v>
      </c>
      <c r="AF306" s="1349">
        <f>IF(W306&gt;=1,(AA306*12+AC306)-(W306*12+Y306)+1,"")</f>
        <v>10</v>
      </c>
      <c r="AG306" s="1351" t="s">
        <v>33</v>
      </c>
      <c r="AH306" s="1353" t="str">
        <f t="shared" ref="AH306" si="798">IFERROR(ROUNDDOWN(ROUND(L306*U306,0),0)*AF306,"")</f>
        <v/>
      </c>
      <c r="AI306" s="1355" t="str">
        <f t="shared" ref="AI306" si="799">IFERROR(ROUNDDOWN(ROUND((L306*(U306-AW306)),0),0)*AF306,"")</f>
        <v/>
      </c>
      <c r="AJ306" s="1357">
        <f>IFERROR(IF(OR(M306="",M307="",M309=""),0,ROUNDDOWN(ROUNDDOWN(ROUND(L306*VLOOKUP(K306,【参考】数式用!$A$5:$AB$37,MATCH("新加算Ⅳ",【参考】数式用!$B$4:$AB$4,0)+1,0),0),0)*AF306*0.5,0)),"")</f>
        <v>0</v>
      </c>
      <c r="AK306" s="1341"/>
      <c r="AL306" s="1345">
        <f>IFERROR(IF(OR(M309="ベア加算",M309=""),0, IF(OR(T306="新加算Ⅰ",T306="新加算Ⅱ",T306="新加算Ⅲ",T306="新加算Ⅳ"),ROUNDDOWN(ROUND(L306*VLOOKUP(K306,【参考】数式用!$A$5:$I$37,MATCH("ベア加算",【参考】数式用!$B$4:$I$4,0)+1,0),0),0)*AF306,0)),"")</f>
        <v>0</v>
      </c>
      <c r="AM306" s="1331"/>
      <c r="AN306" s="1337"/>
      <c r="AO306" s="1333"/>
      <c r="AP306" s="1333"/>
      <c r="AQ306" s="1335"/>
      <c r="AR306" s="1315"/>
      <c r="AS306" s="465" t="str">
        <f t="shared" ref="AS306" si="800">IF(AU306="","",IF(U306&lt;N306,"！加算の要件上は問題ありませんが、令和６年４・５月と比較して令和６年６月に加算率が下がる計画になっています。",""))</f>
        <v/>
      </c>
      <c r="AT306" s="554"/>
      <c r="AU306" s="1303" t="str">
        <f>IF(K306&lt;&gt;"","V列に色付け","")</f>
        <v/>
      </c>
      <c r="AV306" s="555" t="str">
        <f>IF('別紙様式2-2（４・５月分）'!N233="","",'別紙様式2-2（４・５月分）'!N233)</f>
        <v/>
      </c>
      <c r="AW306" s="1305" t="str">
        <f>IF(SUM('別紙様式2-2（４・５月分）'!O233:O235)=0,"",SUM('別紙様式2-2（４・５月分）'!O233:O235))</f>
        <v/>
      </c>
      <c r="AX306" s="1306" t="str">
        <f>IFERROR(VLOOKUP(K306,【参考】数式用!$AH$2:$AI$34,2,FALSE),"")</f>
        <v/>
      </c>
      <c r="AY306" s="1222" t="s">
        <v>1959</v>
      </c>
      <c r="AZ306" s="1222" t="s">
        <v>1960</v>
      </c>
      <c r="BA306" s="1222" t="s">
        <v>1961</v>
      </c>
      <c r="BB306" s="1222" t="s">
        <v>1962</v>
      </c>
      <c r="BC306" s="1222" t="str">
        <f>IF(AND(O306&lt;&gt;"新加算Ⅰ",O306&lt;&gt;"新加算Ⅱ",O306&lt;&gt;"新加算Ⅲ",O306&lt;&gt;"新加算Ⅳ"),O306,IF(P308&lt;&gt;"",P308,""))</f>
        <v/>
      </c>
      <c r="BD306" s="1222"/>
      <c r="BE306" s="1222" t="str">
        <f t="shared" ref="BE306" si="801">IF(AL306&lt;&gt;0,IF(AM306="○","入力済","未入力"),"")</f>
        <v/>
      </c>
      <c r="BF306" s="1222"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2" t="str">
        <f>IF(OR(T306="新加算Ⅴ（７）",T306="新加算Ⅴ（９）",T306="新加算Ⅴ（10）",T306="新加算Ⅴ（12）",T306="新加算Ⅴ（13）",T306="新加算Ⅴ（14）"),IF(OR(AO306="○",AO306="令和６年度中に満たす"),"入力済","未入力"),"")</f>
        <v/>
      </c>
      <c r="BH306" s="1323" t="str">
        <f t="shared" ref="BH306" si="802">IF(OR(T306="新加算Ⅰ",T306="新加算Ⅱ",T306="新加算Ⅲ",T306="新加算Ⅴ（１）",T306="新加算Ⅴ（３）",T306="新加算Ⅴ（８）"),IF(OR(AP306="○",AP306="令和６年度中に満たす"),"入力済","未入力"),"")</f>
        <v/>
      </c>
      <c r="BI306" s="1325" t="str">
        <f t="shared" ref="BI306" si="803">IF(OR(T306="新加算Ⅰ",T306="新加算Ⅱ",T306="新加算Ⅴ（１）",T306="新加算Ⅴ（２）",T306="新加算Ⅴ（３）",T306="新加算Ⅴ（４）",T306="新加算Ⅴ（５）",T306="新加算Ⅴ（６）",T306="新加算Ⅴ（７）",T306="新加算Ⅴ（９）",T306="新加算Ⅴ（10）",T306="新加算Ⅴ（12）"),1,"")</f>
        <v/>
      </c>
      <c r="BJ306" s="1303" t="str">
        <f>IF(OR(T306="新加算Ⅰ",T306="新加算Ⅴ（１）",T306="新加算Ⅴ（２）",T306="新加算Ⅴ（５）",T306="新加算Ⅴ（７）",T306="新加算Ⅴ（10）"),IF(AR306="","未入力","入力済"),"")</f>
        <v/>
      </c>
      <c r="BK306" s="452" t="str">
        <f>G306</f>
        <v/>
      </c>
    </row>
    <row r="307" spans="1:63" ht="15" customHeight="1">
      <c r="A307" s="1267"/>
      <c r="B307" s="1235"/>
      <c r="C307" s="1236"/>
      <c r="D307" s="1236"/>
      <c r="E307" s="1236"/>
      <c r="F307" s="1237"/>
      <c r="G307" s="1252"/>
      <c r="H307" s="1252"/>
      <c r="I307" s="1252"/>
      <c r="J307" s="1415"/>
      <c r="K307" s="1252"/>
      <c r="L307" s="1276"/>
      <c r="M307" s="1371" t="str">
        <f>IF('別紙様式2-2（４・５月分）'!P234="","",'別紙様式2-2（４・５月分）'!P234)</f>
        <v/>
      </c>
      <c r="N307" s="1392"/>
      <c r="O307" s="1398"/>
      <c r="P307" s="1399"/>
      <c r="Q307" s="1400"/>
      <c r="R307" s="1402"/>
      <c r="S307" s="1404"/>
      <c r="T307" s="1406"/>
      <c r="U307" s="1408"/>
      <c r="V307" s="1410"/>
      <c r="W307" s="1348"/>
      <c r="X307" s="1350"/>
      <c r="Y307" s="1348"/>
      <c r="Z307" s="1350"/>
      <c r="AA307" s="1348"/>
      <c r="AB307" s="1350"/>
      <c r="AC307" s="1348"/>
      <c r="AD307" s="1350"/>
      <c r="AE307" s="1350"/>
      <c r="AF307" s="1350"/>
      <c r="AG307" s="1352"/>
      <c r="AH307" s="1354"/>
      <c r="AI307" s="1356"/>
      <c r="AJ307" s="1358"/>
      <c r="AK307" s="1342"/>
      <c r="AL307" s="1346"/>
      <c r="AM307" s="1332"/>
      <c r="AN307" s="1338"/>
      <c r="AO307" s="1334"/>
      <c r="AP307" s="1334"/>
      <c r="AQ307" s="1336"/>
      <c r="AR307" s="1316"/>
      <c r="AS307" s="1302"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4"/>
      <c r="AU307" s="1303"/>
      <c r="AV307" s="1304" t="str">
        <f>IF('別紙様式2-2（４・５月分）'!N234="","",'別紙様式2-2（４・５月分）'!N234)</f>
        <v/>
      </c>
      <c r="AW307" s="1305"/>
      <c r="AX307" s="1306"/>
      <c r="AY307" s="1222"/>
      <c r="AZ307" s="1222"/>
      <c r="BA307" s="1222"/>
      <c r="BB307" s="1222"/>
      <c r="BC307" s="1222"/>
      <c r="BD307" s="1222"/>
      <c r="BE307" s="1222"/>
      <c r="BF307" s="1222"/>
      <c r="BG307" s="1222"/>
      <c r="BH307" s="1324"/>
      <c r="BI307" s="1326"/>
      <c r="BJ307" s="1303"/>
      <c r="BK307" s="452" t="str">
        <f>G306</f>
        <v/>
      </c>
    </row>
    <row r="308" spans="1:63" ht="15" customHeight="1">
      <c r="A308" s="1295"/>
      <c r="B308" s="1235"/>
      <c r="C308" s="1236"/>
      <c r="D308" s="1236"/>
      <c r="E308" s="1236"/>
      <c r="F308" s="1237"/>
      <c r="G308" s="1252"/>
      <c r="H308" s="1252"/>
      <c r="I308" s="1252"/>
      <c r="J308" s="1415"/>
      <c r="K308" s="1252"/>
      <c r="L308" s="1276"/>
      <c r="M308" s="1372"/>
      <c r="N308" s="1393"/>
      <c r="O308" s="1373" t="s">
        <v>2025</v>
      </c>
      <c r="P308" s="1375" t="str">
        <f>IFERROR(VLOOKUP('別紙様式2-2（４・５月分）'!AQ233,【参考】数式用!$AR$5:$AT$22,3,FALSE),"")</f>
        <v/>
      </c>
      <c r="Q308" s="1377" t="s">
        <v>2036</v>
      </c>
      <c r="R308" s="1379" t="str">
        <f>IFERROR(VLOOKUP(K306,【参考】数式用!$A$5:$AB$37,MATCH(P308,【参考】数式用!$B$4:$AB$4,0)+1,0),"")</f>
        <v/>
      </c>
      <c r="S308" s="1381" t="s">
        <v>161</v>
      </c>
      <c r="T308" s="1383"/>
      <c r="U308" s="1385" t="str">
        <f>IFERROR(VLOOKUP(K306,【参考】数式用!$A$5:$AB$37,MATCH(T308,【参考】数式用!$B$4:$AB$4,0)+1,0),"")</f>
        <v/>
      </c>
      <c r="V308" s="1387" t="s">
        <v>15</v>
      </c>
      <c r="W308" s="1389">
        <v>7</v>
      </c>
      <c r="X308" s="1363" t="s">
        <v>10</v>
      </c>
      <c r="Y308" s="1389">
        <v>4</v>
      </c>
      <c r="Z308" s="1363" t="s">
        <v>38</v>
      </c>
      <c r="AA308" s="1389">
        <v>8</v>
      </c>
      <c r="AB308" s="1363" t="s">
        <v>10</v>
      </c>
      <c r="AC308" s="1389">
        <v>3</v>
      </c>
      <c r="AD308" s="1363" t="s">
        <v>13</v>
      </c>
      <c r="AE308" s="1363" t="s">
        <v>20</v>
      </c>
      <c r="AF308" s="1363">
        <f>IF(W308&gt;=1,(AA308*12+AC308)-(W308*12+Y308)+1,"")</f>
        <v>12</v>
      </c>
      <c r="AG308" s="1359" t="s">
        <v>33</v>
      </c>
      <c r="AH308" s="1365" t="str">
        <f t="shared" ref="AH308" si="805">IFERROR(ROUNDDOWN(ROUND(L306*U308,0),0)*AF308,"")</f>
        <v/>
      </c>
      <c r="AI308" s="1367" t="str">
        <f t="shared" ref="AI308" si="806">IFERROR(ROUNDDOWN(ROUND((L306*(U308-AW306)),0),0)*AF308,"")</f>
        <v/>
      </c>
      <c r="AJ308" s="1369">
        <f>IFERROR(IF(OR(M306="",M307="",M309=""),0,ROUNDDOWN(ROUNDDOWN(ROUND(L306*VLOOKUP(K306,【参考】数式用!$A$5:$AB$37,MATCH("新加算Ⅳ",【参考】数式用!$B$4:$AB$4,0)+1,0),0),0)*AF308*0.5,0)),"")</f>
        <v>0</v>
      </c>
      <c r="AK308" s="1339" t="str">
        <f t="shared" ref="AK308" si="807">IF(T308&lt;&gt;"","新規に適用","")</f>
        <v/>
      </c>
      <c r="AL308" s="1343">
        <f>IFERROR(IF(OR(M309="ベア加算",M309=""),0, IF(OR(T306="新加算Ⅰ",T306="新加算Ⅱ",T306="新加算Ⅲ",T306="新加算Ⅳ"),0,ROUNDDOWN(ROUND(L306*VLOOKUP(K306,【参考】数式用!$A$5:$I$37,MATCH("ベア加算",【参考】数式用!$B$4:$I$4,0)+1,0),0),0)*AF308)),"")</f>
        <v>0</v>
      </c>
      <c r="AM308" s="1313" t="str">
        <f>IF(AND(T308&lt;&gt;"",AM306=""),"新規に適用",IF(AND(T308&lt;&gt;"",AM306&lt;&gt;""),"継続で適用",""))</f>
        <v/>
      </c>
      <c r="AN308" s="1313" t="str">
        <f>IF(AND(T308&lt;&gt;"",AN306=""),"新規に適用",IF(AND(T308&lt;&gt;"",AN306&lt;&gt;""),"継続で適用",""))</f>
        <v/>
      </c>
      <c r="AO308" s="1361"/>
      <c r="AP308" s="1313" t="str">
        <f>IF(AND(T308&lt;&gt;"",AP306=""),"新規に適用",IF(AND(T308&lt;&gt;"",AP306&lt;&gt;""),"継続で適用",""))</f>
        <v/>
      </c>
      <c r="AQ308" s="1317" t="str">
        <f t="shared" si="774"/>
        <v/>
      </c>
      <c r="AR308" s="1313" t="str">
        <f>IF(AND(T308&lt;&gt;"",AR306=""),"新規に適用",IF(AND(T308&lt;&gt;"",AR306&lt;&gt;""),"継続で適用",""))</f>
        <v/>
      </c>
      <c r="AS308" s="1302"/>
      <c r="AT308" s="554"/>
      <c r="AU308" s="1303" t="str">
        <f>IF(K306&lt;&gt;"","V列に色付け","")</f>
        <v/>
      </c>
      <c r="AV308" s="1304"/>
      <c r="AW308" s="1305"/>
      <c r="AX308"/>
      <c r="AY308"/>
      <c r="AZ308"/>
      <c r="BA308"/>
      <c r="BB308"/>
      <c r="BC308"/>
      <c r="BD308"/>
      <c r="BE308"/>
      <c r="BF308"/>
      <c r="BG308"/>
      <c r="BH308"/>
      <c r="BI308"/>
      <c r="BJ308"/>
      <c r="BK308" s="452" t="str">
        <f>G306</f>
        <v/>
      </c>
    </row>
    <row r="309" spans="1:63" ht="30" customHeight="1" thickBot="1">
      <c r="A309" s="1268"/>
      <c r="B309" s="1411"/>
      <c r="C309" s="1412"/>
      <c r="D309" s="1412"/>
      <c r="E309" s="1412"/>
      <c r="F309" s="1413"/>
      <c r="G309" s="1253"/>
      <c r="H309" s="1253"/>
      <c r="I309" s="1253"/>
      <c r="J309" s="1416"/>
      <c r="K309" s="1253"/>
      <c r="L309" s="1277"/>
      <c r="M309" s="553" t="str">
        <f>IF('別紙様式2-2（４・５月分）'!P235="","",'別紙様式2-2（４・５月分）'!P235)</f>
        <v/>
      </c>
      <c r="N309" s="1394"/>
      <c r="O309" s="1374"/>
      <c r="P309" s="1376"/>
      <c r="Q309" s="1378"/>
      <c r="R309" s="1380"/>
      <c r="S309" s="1382"/>
      <c r="T309" s="1384"/>
      <c r="U309" s="1386"/>
      <c r="V309" s="1388"/>
      <c r="W309" s="1390"/>
      <c r="X309" s="1364"/>
      <c r="Y309" s="1390"/>
      <c r="Z309" s="1364"/>
      <c r="AA309" s="1390"/>
      <c r="AB309" s="1364"/>
      <c r="AC309" s="1390"/>
      <c r="AD309" s="1364"/>
      <c r="AE309" s="1364"/>
      <c r="AF309" s="1364"/>
      <c r="AG309" s="1360"/>
      <c r="AH309" s="1366"/>
      <c r="AI309" s="1368"/>
      <c r="AJ309" s="1370"/>
      <c r="AK309" s="1340"/>
      <c r="AL309" s="1344"/>
      <c r="AM309" s="1314"/>
      <c r="AN309" s="1314"/>
      <c r="AO309" s="1362"/>
      <c r="AP309" s="1314"/>
      <c r="AQ309" s="1318"/>
      <c r="AR309" s="1314"/>
      <c r="AS309" s="490"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4"/>
      <c r="AU309" s="1303"/>
      <c r="AV309" s="555" t="str">
        <f>IF('別紙様式2-2（４・５月分）'!N235="","",'別紙様式2-2（４・５月分）'!N235)</f>
        <v/>
      </c>
      <c r="AW309" s="1305"/>
      <c r="AX309"/>
      <c r="AY309"/>
      <c r="AZ309"/>
      <c r="BA309"/>
      <c r="BB309"/>
      <c r="BC309"/>
      <c r="BD309"/>
      <c r="BE309"/>
      <c r="BF309"/>
      <c r="BG309"/>
      <c r="BH309"/>
      <c r="BI309"/>
      <c r="BJ309"/>
      <c r="BK309" s="452" t="str">
        <f>G306</f>
        <v/>
      </c>
    </row>
    <row r="310" spans="1:63" ht="30" customHeight="1">
      <c r="A310" s="1266">
        <v>75</v>
      </c>
      <c r="B310" s="1232" t="str">
        <f>IF(基本情報入力シート!C128="","",基本情報入力シート!C128)</f>
        <v/>
      </c>
      <c r="C310" s="1233"/>
      <c r="D310" s="1233"/>
      <c r="E310" s="1233"/>
      <c r="F310" s="1234"/>
      <c r="G310" s="1251" t="str">
        <f>IF(基本情報入力シート!M128="","",基本情報入力シート!M128)</f>
        <v/>
      </c>
      <c r="H310" s="1251" t="str">
        <f>IF(基本情報入力シート!R128="","",基本情報入力シート!R128)</f>
        <v/>
      </c>
      <c r="I310" s="1251" t="str">
        <f>IF(基本情報入力シート!W128="","",基本情報入力シート!W128)</f>
        <v/>
      </c>
      <c r="J310" s="1414" t="str">
        <f>IF(基本情報入力シート!X128="","",基本情報入力シート!X128)</f>
        <v/>
      </c>
      <c r="K310" s="1251" t="str">
        <f>IF(基本情報入力シート!Y128="","",基本情報入力シート!Y128)</f>
        <v/>
      </c>
      <c r="L310" s="1275" t="str">
        <f>IF(基本情報入力シート!AB128="","",基本情報入力シート!AB128)</f>
        <v/>
      </c>
      <c r="M310" s="550" t="str">
        <f>IF('別紙様式2-2（４・５月分）'!P236="","",'別紙様式2-2（４・５月分）'!P236)</f>
        <v/>
      </c>
      <c r="N310" s="1391" t="str">
        <f>IF(SUM('別紙様式2-2（４・５月分）'!Q236:Q238)=0,"",SUM('別紙様式2-2（４・５月分）'!Q236:Q238))</f>
        <v/>
      </c>
      <c r="O310" s="1395" t="str">
        <f>IFERROR(VLOOKUP('別紙様式2-2（４・５月分）'!AQ236,【参考】数式用!$AR$5:$AS$22,2,FALSE),"")</f>
        <v/>
      </c>
      <c r="P310" s="1396"/>
      <c r="Q310" s="1397"/>
      <c r="R310" s="1401" t="str">
        <f>IFERROR(VLOOKUP(K310,【参考】数式用!$A$5:$AB$37,MATCH(O310,【参考】数式用!$B$4:$AB$4,0)+1,0),"")</f>
        <v/>
      </c>
      <c r="S310" s="1403" t="s">
        <v>2021</v>
      </c>
      <c r="T310" s="1405"/>
      <c r="U310" s="1407" t="str">
        <f>IFERROR(VLOOKUP(K310,【参考】数式用!$A$5:$AB$37,MATCH(T310,【参考】数式用!$B$4:$AB$4,0)+1,0),"")</f>
        <v/>
      </c>
      <c r="V310" s="1409" t="s">
        <v>15</v>
      </c>
      <c r="W310" s="1347">
        <v>6</v>
      </c>
      <c r="X310" s="1349" t="s">
        <v>10</v>
      </c>
      <c r="Y310" s="1347">
        <v>6</v>
      </c>
      <c r="Z310" s="1349" t="s">
        <v>38</v>
      </c>
      <c r="AA310" s="1347">
        <v>7</v>
      </c>
      <c r="AB310" s="1349" t="s">
        <v>10</v>
      </c>
      <c r="AC310" s="1347">
        <v>3</v>
      </c>
      <c r="AD310" s="1349" t="s">
        <v>13</v>
      </c>
      <c r="AE310" s="1349" t="s">
        <v>20</v>
      </c>
      <c r="AF310" s="1349">
        <f>IF(W310&gt;=1,(AA310*12+AC310)-(W310*12+Y310)+1,"")</f>
        <v>10</v>
      </c>
      <c r="AG310" s="1351" t="s">
        <v>33</v>
      </c>
      <c r="AH310" s="1353" t="str">
        <f t="shared" ref="AH310" si="809">IFERROR(ROUNDDOWN(ROUND(L310*U310,0),0)*AF310,"")</f>
        <v/>
      </c>
      <c r="AI310" s="1355" t="str">
        <f t="shared" ref="AI310" si="810">IFERROR(ROUNDDOWN(ROUND((L310*(U310-AW310)),0),0)*AF310,"")</f>
        <v/>
      </c>
      <c r="AJ310" s="1357">
        <f>IFERROR(IF(OR(M310="",M311="",M313=""),0,ROUNDDOWN(ROUNDDOWN(ROUND(L310*VLOOKUP(K310,【参考】数式用!$A$5:$AB$37,MATCH("新加算Ⅳ",【参考】数式用!$B$4:$AB$4,0)+1,0),0),0)*AF310*0.5,0)),"")</f>
        <v>0</v>
      </c>
      <c r="AK310" s="1341"/>
      <c r="AL310" s="1345">
        <f>IFERROR(IF(OR(M313="ベア加算",M313=""),0, IF(OR(T310="新加算Ⅰ",T310="新加算Ⅱ",T310="新加算Ⅲ",T310="新加算Ⅳ"),ROUNDDOWN(ROUND(L310*VLOOKUP(K310,【参考】数式用!$A$5:$I$37,MATCH("ベア加算",【参考】数式用!$B$4:$I$4,0)+1,0),0),0)*AF310,0)),"")</f>
        <v>0</v>
      </c>
      <c r="AM310" s="1331"/>
      <c r="AN310" s="1337"/>
      <c r="AO310" s="1333"/>
      <c r="AP310" s="1333"/>
      <c r="AQ310" s="1335"/>
      <c r="AR310" s="1315"/>
      <c r="AS310" s="465" t="str">
        <f t="shared" ref="AS310" si="811">IF(AU310="","",IF(U310&lt;N310,"！加算の要件上は問題ありませんが、令和６年４・５月と比較して令和６年６月に加算率が下がる計画になっています。",""))</f>
        <v/>
      </c>
      <c r="AT310" s="554"/>
      <c r="AU310" s="1303" t="str">
        <f>IF(K310&lt;&gt;"","V列に色付け","")</f>
        <v/>
      </c>
      <c r="AV310" s="555" t="str">
        <f>IF('別紙様式2-2（４・５月分）'!N236="","",'別紙様式2-2（４・５月分）'!N236)</f>
        <v/>
      </c>
      <c r="AW310" s="1305" t="str">
        <f>IF(SUM('別紙様式2-2（４・５月分）'!O236:O238)=0,"",SUM('別紙様式2-2（４・５月分）'!O236:O238))</f>
        <v/>
      </c>
      <c r="AX310" s="1306" t="str">
        <f>IFERROR(VLOOKUP(K310,【参考】数式用!$AH$2:$AI$34,2,FALSE),"")</f>
        <v/>
      </c>
      <c r="AY310" s="1222" t="s">
        <v>1959</v>
      </c>
      <c r="AZ310" s="1222" t="s">
        <v>1960</v>
      </c>
      <c r="BA310" s="1222" t="s">
        <v>1961</v>
      </c>
      <c r="BB310" s="1222" t="s">
        <v>1962</v>
      </c>
      <c r="BC310" s="1222" t="str">
        <f>IF(AND(O310&lt;&gt;"新加算Ⅰ",O310&lt;&gt;"新加算Ⅱ",O310&lt;&gt;"新加算Ⅲ",O310&lt;&gt;"新加算Ⅳ"),O310,IF(P312&lt;&gt;"",P312,""))</f>
        <v/>
      </c>
      <c r="BD310" s="1222"/>
      <c r="BE310" s="1222" t="str">
        <f t="shared" ref="BE310" si="812">IF(AL310&lt;&gt;0,IF(AM310="○","入力済","未入力"),"")</f>
        <v/>
      </c>
      <c r="BF310" s="1222"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2" t="str">
        <f>IF(OR(T310="新加算Ⅴ（７）",T310="新加算Ⅴ（９）",T310="新加算Ⅴ（10）",T310="新加算Ⅴ（12）",T310="新加算Ⅴ（13）",T310="新加算Ⅴ（14）"),IF(OR(AO310="○",AO310="令和６年度中に満たす"),"入力済","未入力"),"")</f>
        <v/>
      </c>
      <c r="BH310" s="1323" t="str">
        <f t="shared" ref="BH310" si="813">IF(OR(T310="新加算Ⅰ",T310="新加算Ⅱ",T310="新加算Ⅲ",T310="新加算Ⅴ（１）",T310="新加算Ⅴ（３）",T310="新加算Ⅴ（８）"),IF(OR(AP310="○",AP310="令和６年度中に満たす"),"入力済","未入力"),"")</f>
        <v/>
      </c>
      <c r="BI310" s="1325" t="str">
        <f t="shared" ref="BI310" si="814">IF(OR(T310="新加算Ⅰ",T310="新加算Ⅱ",T310="新加算Ⅴ（１）",T310="新加算Ⅴ（２）",T310="新加算Ⅴ（３）",T310="新加算Ⅴ（４）",T310="新加算Ⅴ（５）",T310="新加算Ⅴ（６）",T310="新加算Ⅴ（７）",T310="新加算Ⅴ（９）",T310="新加算Ⅴ（10）",T310="新加算Ⅴ（12）"),1,"")</f>
        <v/>
      </c>
      <c r="BJ310" s="1303" t="str">
        <f>IF(OR(T310="新加算Ⅰ",T310="新加算Ⅴ（１）",T310="新加算Ⅴ（２）",T310="新加算Ⅴ（５）",T310="新加算Ⅴ（７）",T310="新加算Ⅴ（10）"),IF(AR310="","未入力","入力済"),"")</f>
        <v/>
      </c>
      <c r="BK310" s="452" t="str">
        <f>G310</f>
        <v/>
      </c>
    </row>
    <row r="311" spans="1:63" ht="15" customHeight="1">
      <c r="A311" s="1267"/>
      <c r="B311" s="1235"/>
      <c r="C311" s="1236"/>
      <c r="D311" s="1236"/>
      <c r="E311" s="1236"/>
      <c r="F311" s="1237"/>
      <c r="G311" s="1252"/>
      <c r="H311" s="1252"/>
      <c r="I311" s="1252"/>
      <c r="J311" s="1415"/>
      <c r="K311" s="1252"/>
      <c r="L311" s="1276"/>
      <c r="M311" s="1371" t="str">
        <f>IF('別紙様式2-2（４・５月分）'!P237="","",'別紙様式2-2（４・５月分）'!P237)</f>
        <v/>
      </c>
      <c r="N311" s="1392"/>
      <c r="O311" s="1398"/>
      <c r="P311" s="1399"/>
      <c r="Q311" s="1400"/>
      <c r="R311" s="1402"/>
      <c r="S311" s="1404"/>
      <c r="T311" s="1406"/>
      <c r="U311" s="1408"/>
      <c r="V311" s="1410"/>
      <c r="W311" s="1348"/>
      <c r="X311" s="1350"/>
      <c r="Y311" s="1348"/>
      <c r="Z311" s="1350"/>
      <c r="AA311" s="1348"/>
      <c r="AB311" s="1350"/>
      <c r="AC311" s="1348"/>
      <c r="AD311" s="1350"/>
      <c r="AE311" s="1350"/>
      <c r="AF311" s="1350"/>
      <c r="AG311" s="1352"/>
      <c r="AH311" s="1354"/>
      <c r="AI311" s="1356"/>
      <c r="AJ311" s="1358"/>
      <c r="AK311" s="1342"/>
      <c r="AL311" s="1346"/>
      <c r="AM311" s="1332"/>
      <c r="AN311" s="1338"/>
      <c r="AO311" s="1334"/>
      <c r="AP311" s="1334"/>
      <c r="AQ311" s="1336"/>
      <c r="AR311" s="1316"/>
      <c r="AS311" s="1302"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4"/>
      <c r="AU311" s="1303"/>
      <c r="AV311" s="1304" t="str">
        <f>IF('別紙様式2-2（４・５月分）'!N237="","",'別紙様式2-2（４・５月分）'!N237)</f>
        <v/>
      </c>
      <c r="AW311" s="1305"/>
      <c r="AX311" s="1306"/>
      <c r="AY311" s="1222"/>
      <c r="AZ311" s="1222"/>
      <c r="BA311" s="1222"/>
      <c r="BB311" s="1222"/>
      <c r="BC311" s="1222"/>
      <c r="BD311" s="1222"/>
      <c r="BE311" s="1222"/>
      <c r="BF311" s="1222"/>
      <c r="BG311" s="1222"/>
      <c r="BH311" s="1324"/>
      <c r="BI311" s="1326"/>
      <c r="BJ311" s="1303"/>
      <c r="BK311" s="452" t="str">
        <f>G310</f>
        <v/>
      </c>
    </row>
    <row r="312" spans="1:63" ht="15" customHeight="1">
      <c r="A312" s="1295"/>
      <c r="B312" s="1235"/>
      <c r="C312" s="1236"/>
      <c r="D312" s="1236"/>
      <c r="E312" s="1236"/>
      <c r="F312" s="1237"/>
      <c r="G312" s="1252"/>
      <c r="H312" s="1252"/>
      <c r="I312" s="1252"/>
      <c r="J312" s="1415"/>
      <c r="K312" s="1252"/>
      <c r="L312" s="1276"/>
      <c r="M312" s="1372"/>
      <c r="N312" s="1393"/>
      <c r="O312" s="1373" t="s">
        <v>2025</v>
      </c>
      <c r="P312" s="1375" t="str">
        <f>IFERROR(VLOOKUP('別紙様式2-2（４・５月分）'!AQ236,【参考】数式用!$AR$5:$AT$22,3,FALSE),"")</f>
        <v/>
      </c>
      <c r="Q312" s="1377" t="s">
        <v>2036</v>
      </c>
      <c r="R312" s="1379" t="str">
        <f>IFERROR(VLOOKUP(K310,【参考】数式用!$A$5:$AB$37,MATCH(P312,【参考】数式用!$B$4:$AB$4,0)+1,0),"")</f>
        <v/>
      </c>
      <c r="S312" s="1381" t="s">
        <v>161</v>
      </c>
      <c r="T312" s="1383"/>
      <c r="U312" s="1385" t="str">
        <f>IFERROR(VLOOKUP(K310,【参考】数式用!$A$5:$AB$37,MATCH(T312,【参考】数式用!$B$4:$AB$4,0)+1,0),"")</f>
        <v/>
      </c>
      <c r="V312" s="1387" t="s">
        <v>15</v>
      </c>
      <c r="W312" s="1389">
        <v>7</v>
      </c>
      <c r="X312" s="1363" t="s">
        <v>10</v>
      </c>
      <c r="Y312" s="1389">
        <v>4</v>
      </c>
      <c r="Z312" s="1363" t="s">
        <v>38</v>
      </c>
      <c r="AA312" s="1389">
        <v>8</v>
      </c>
      <c r="AB312" s="1363" t="s">
        <v>10</v>
      </c>
      <c r="AC312" s="1389">
        <v>3</v>
      </c>
      <c r="AD312" s="1363" t="s">
        <v>13</v>
      </c>
      <c r="AE312" s="1363" t="s">
        <v>20</v>
      </c>
      <c r="AF312" s="1363">
        <f>IF(W312&gt;=1,(AA312*12+AC312)-(W312*12+Y312)+1,"")</f>
        <v>12</v>
      </c>
      <c r="AG312" s="1359" t="s">
        <v>33</v>
      </c>
      <c r="AH312" s="1365" t="str">
        <f t="shared" ref="AH312" si="816">IFERROR(ROUNDDOWN(ROUND(L310*U312,0),0)*AF312,"")</f>
        <v/>
      </c>
      <c r="AI312" s="1367" t="str">
        <f t="shared" ref="AI312" si="817">IFERROR(ROUNDDOWN(ROUND((L310*(U312-AW310)),0),0)*AF312,"")</f>
        <v/>
      </c>
      <c r="AJ312" s="1369">
        <f>IFERROR(IF(OR(M310="",M311="",M313=""),0,ROUNDDOWN(ROUNDDOWN(ROUND(L310*VLOOKUP(K310,【参考】数式用!$A$5:$AB$37,MATCH("新加算Ⅳ",【参考】数式用!$B$4:$AB$4,0)+1,0),0),0)*AF312*0.5,0)),"")</f>
        <v>0</v>
      </c>
      <c r="AK312" s="1339" t="str">
        <f t="shared" ref="AK312" si="818">IF(T312&lt;&gt;"","新規に適用","")</f>
        <v/>
      </c>
      <c r="AL312" s="1343">
        <f>IFERROR(IF(OR(M313="ベア加算",M313=""),0, IF(OR(T310="新加算Ⅰ",T310="新加算Ⅱ",T310="新加算Ⅲ",T310="新加算Ⅳ"),0,ROUNDDOWN(ROUND(L310*VLOOKUP(K310,【参考】数式用!$A$5:$I$37,MATCH("ベア加算",【参考】数式用!$B$4:$I$4,0)+1,0),0),0)*AF312)),"")</f>
        <v>0</v>
      </c>
      <c r="AM312" s="1313" t="str">
        <f>IF(AND(T312&lt;&gt;"",AM310=""),"新規に適用",IF(AND(T312&lt;&gt;"",AM310&lt;&gt;""),"継続で適用",""))</f>
        <v/>
      </c>
      <c r="AN312" s="1313" t="str">
        <f>IF(AND(T312&lt;&gt;"",AN310=""),"新規に適用",IF(AND(T312&lt;&gt;"",AN310&lt;&gt;""),"継続で適用",""))</f>
        <v/>
      </c>
      <c r="AO312" s="1361"/>
      <c r="AP312" s="1313" t="str">
        <f>IF(AND(T312&lt;&gt;"",AP310=""),"新規に適用",IF(AND(T312&lt;&gt;"",AP310&lt;&gt;""),"継続で適用",""))</f>
        <v/>
      </c>
      <c r="AQ312" s="1317" t="str">
        <f t="shared" si="774"/>
        <v/>
      </c>
      <c r="AR312" s="1313" t="str">
        <f>IF(AND(T312&lt;&gt;"",AR310=""),"新規に適用",IF(AND(T312&lt;&gt;"",AR310&lt;&gt;""),"継続で適用",""))</f>
        <v/>
      </c>
      <c r="AS312" s="1302"/>
      <c r="AT312" s="554"/>
      <c r="AU312" s="1303" t="str">
        <f>IF(K310&lt;&gt;"","V列に色付け","")</f>
        <v/>
      </c>
      <c r="AV312" s="1304"/>
      <c r="AW312" s="1305"/>
      <c r="AX312"/>
      <c r="AY312"/>
      <c r="AZ312"/>
      <c r="BA312"/>
      <c r="BB312"/>
      <c r="BC312"/>
      <c r="BD312"/>
      <c r="BE312"/>
      <c r="BF312"/>
      <c r="BG312"/>
      <c r="BH312"/>
      <c r="BI312"/>
      <c r="BJ312"/>
      <c r="BK312" s="452" t="str">
        <f>G310</f>
        <v/>
      </c>
    </row>
    <row r="313" spans="1:63" ht="30" customHeight="1" thickBot="1">
      <c r="A313" s="1268"/>
      <c r="B313" s="1411"/>
      <c r="C313" s="1412"/>
      <c r="D313" s="1412"/>
      <c r="E313" s="1412"/>
      <c r="F313" s="1413"/>
      <c r="G313" s="1253"/>
      <c r="H313" s="1253"/>
      <c r="I313" s="1253"/>
      <c r="J313" s="1416"/>
      <c r="K313" s="1253"/>
      <c r="L313" s="1277"/>
      <c r="M313" s="553" t="str">
        <f>IF('別紙様式2-2（４・５月分）'!P238="","",'別紙様式2-2（４・５月分）'!P238)</f>
        <v/>
      </c>
      <c r="N313" s="1394"/>
      <c r="O313" s="1374"/>
      <c r="P313" s="1376"/>
      <c r="Q313" s="1378"/>
      <c r="R313" s="1380"/>
      <c r="S313" s="1382"/>
      <c r="T313" s="1384"/>
      <c r="U313" s="1386"/>
      <c r="V313" s="1388"/>
      <c r="W313" s="1390"/>
      <c r="X313" s="1364"/>
      <c r="Y313" s="1390"/>
      <c r="Z313" s="1364"/>
      <c r="AA313" s="1390"/>
      <c r="AB313" s="1364"/>
      <c r="AC313" s="1390"/>
      <c r="AD313" s="1364"/>
      <c r="AE313" s="1364"/>
      <c r="AF313" s="1364"/>
      <c r="AG313" s="1360"/>
      <c r="AH313" s="1366"/>
      <c r="AI313" s="1368"/>
      <c r="AJ313" s="1370"/>
      <c r="AK313" s="1340"/>
      <c r="AL313" s="1344"/>
      <c r="AM313" s="1314"/>
      <c r="AN313" s="1314"/>
      <c r="AO313" s="1362"/>
      <c r="AP313" s="1314"/>
      <c r="AQ313" s="1318"/>
      <c r="AR313" s="1314"/>
      <c r="AS313" s="490"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4"/>
      <c r="AU313" s="1303"/>
      <c r="AV313" s="555" t="str">
        <f>IF('別紙様式2-2（４・５月分）'!N238="","",'別紙様式2-2（４・５月分）'!N238)</f>
        <v/>
      </c>
      <c r="AW313" s="1305"/>
      <c r="AX313"/>
      <c r="AY313"/>
      <c r="AZ313"/>
      <c r="BA313"/>
      <c r="BB313"/>
      <c r="BC313"/>
      <c r="BD313"/>
      <c r="BE313"/>
      <c r="BF313"/>
      <c r="BG313"/>
      <c r="BH313"/>
      <c r="BI313"/>
      <c r="BJ313"/>
      <c r="BK313" s="452" t="str">
        <f>G310</f>
        <v/>
      </c>
    </row>
    <row r="314" spans="1:63" ht="30" customHeight="1">
      <c r="A314" s="1293">
        <v>76</v>
      </c>
      <c r="B314" s="1235" t="str">
        <f>IF(基本情報入力シート!C129="","",基本情報入力シート!C129)</f>
        <v/>
      </c>
      <c r="C314" s="1236"/>
      <c r="D314" s="1236"/>
      <c r="E314" s="1236"/>
      <c r="F314" s="1237"/>
      <c r="G314" s="1252" t="str">
        <f>IF(基本情報入力シート!M129="","",基本情報入力シート!M129)</f>
        <v/>
      </c>
      <c r="H314" s="1252" t="str">
        <f>IF(基本情報入力シート!R129="","",基本情報入力シート!R129)</f>
        <v/>
      </c>
      <c r="I314" s="1252" t="str">
        <f>IF(基本情報入力シート!W129="","",基本情報入力シート!W129)</f>
        <v/>
      </c>
      <c r="J314" s="1415" t="str">
        <f>IF(基本情報入力シート!X129="","",基本情報入力シート!X129)</f>
        <v/>
      </c>
      <c r="K314" s="1252" t="str">
        <f>IF(基本情報入力シート!Y129="","",基本情報入力シート!Y129)</f>
        <v/>
      </c>
      <c r="L314" s="1276" t="str">
        <f>IF(基本情報入力シート!AB129="","",基本情報入力シート!AB129)</f>
        <v/>
      </c>
      <c r="M314" s="550" t="str">
        <f>IF('別紙様式2-2（４・５月分）'!P239="","",'別紙様式2-2（４・５月分）'!P239)</f>
        <v/>
      </c>
      <c r="N314" s="1391" t="str">
        <f>IF(SUM('別紙様式2-2（４・５月分）'!Q239:Q241)=0,"",SUM('別紙様式2-2（４・５月分）'!Q239:Q241))</f>
        <v/>
      </c>
      <c r="O314" s="1395" t="str">
        <f>IFERROR(VLOOKUP('別紙様式2-2（４・５月分）'!AQ239,【参考】数式用!$AR$5:$AS$22,2,FALSE),"")</f>
        <v/>
      </c>
      <c r="P314" s="1396"/>
      <c r="Q314" s="1397"/>
      <c r="R314" s="1401" t="str">
        <f>IFERROR(VLOOKUP(K314,【参考】数式用!$A$5:$AB$37,MATCH(O314,【参考】数式用!$B$4:$AB$4,0)+1,0),"")</f>
        <v/>
      </c>
      <c r="S314" s="1403" t="s">
        <v>2021</v>
      </c>
      <c r="T314" s="1405"/>
      <c r="U314" s="1407" t="str">
        <f>IFERROR(VLOOKUP(K314,【参考】数式用!$A$5:$AB$37,MATCH(T314,【参考】数式用!$B$4:$AB$4,0)+1,0),"")</f>
        <v/>
      </c>
      <c r="V314" s="1409" t="s">
        <v>15</v>
      </c>
      <c r="W314" s="1347">
        <v>6</v>
      </c>
      <c r="X314" s="1349" t="s">
        <v>10</v>
      </c>
      <c r="Y314" s="1347">
        <v>6</v>
      </c>
      <c r="Z314" s="1349" t="s">
        <v>38</v>
      </c>
      <c r="AA314" s="1347">
        <v>7</v>
      </c>
      <c r="AB314" s="1349" t="s">
        <v>10</v>
      </c>
      <c r="AC314" s="1347">
        <v>3</v>
      </c>
      <c r="AD314" s="1349" t="s">
        <v>13</v>
      </c>
      <c r="AE314" s="1349" t="s">
        <v>20</v>
      </c>
      <c r="AF314" s="1349">
        <f>IF(W314&gt;=1,(AA314*12+AC314)-(W314*12+Y314)+1,"")</f>
        <v>10</v>
      </c>
      <c r="AG314" s="1351" t="s">
        <v>33</v>
      </c>
      <c r="AH314" s="1353" t="str">
        <f t="shared" ref="AH314" si="820">IFERROR(ROUNDDOWN(ROUND(L314*U314,0),0)*AF314,"")</f>
        <v/>
      </c>
      <c r="AI314" s="1355" t="str">
        <f t="shared" ref="AI314" si="821">IFERROR(ROUNDDOWN(ROUND((L314*(U314-AW314)),0),0)*AF314,"")</f>
        <v/>
      </c>
      <c r="AJ314" s="1357">
        <f>IFERROR(IF(OR(M314="",M315="",M317=""),0,ROUNDDOWN(ROUNDDOWN(ROUND(L314*VLOOKUP(K314,【参考】数式用!$A$5:$AB$37,MATCH("新加算Ⅳ",【参考】数式用!$B$4:$AB$4,0)+1,0),0),0)*AF314*0.5,0)),"")</f>
        <v>0</v>
      </c>
      <c r="AK314" s="1341"/>
      <c r="AL314" s="1345">
        <f>IFERROR(IF(OR(M317="ベア加算",M317=""),0, IF(OR(T314="新加算Ⅰ",T314="新加算Ⅱ",T314="新加算Ⅲ",T314="新加算Ⅳ"),ROUNDDOWN(ROUND(L314*VLOOKUP(K314,【参考】数式用!$A$5:$I$37,MATCH("ベア加算",【参考】数式用!$B$4:$I$4,0)+1,0),0),0)*AF314,0)),"")</f>
        <v>0</v>
      </c>
      <c r="AM314" s="1331"/>
      <c r="AN314" s="1337"/>
      <c r="AO314" s="1333"/>
      <c r="AP314" s="1333"/>
      <c r="AQ314" s="1335"/>
      <c r="AR314" s="1315"/>
      <c r="AS314" s="465" t="str">
        <f t="shared" ref="AS314" si="822">IF(AU314="","",IF(U314&lt;N314,"！加算の要件上は問題ありませんが、令和６年４・５月と比較して令和６年６月に加算率が下がる計画になっています。",""))</f>
        <v/>
      </c>
      <c r="AT314" s="554"/>
      <c r="AU314" s="1303" t="str">
        <f>IF(K314&lt;&gt;"","V列に色付け","")</f>
        <v/>
      </c>
      <c r="AV314" s="555" t="str">
        <f>IF('別紙様式2-2（４・５月分）'!N239="","",'別紙様式2-2（４・５月分）'!N239)</f>
        <v/>
      </c>
      <c r="AW314" s="1305" t="str">
        <f>IF(SUM('別紙様式2-2（４・５月分）'!O239:O241)=0,"",SUM('別紙様式2-2（４・５月分）'!O239:O241))</f>
        <v/>
      </c>
      <c r="AX314" s="1306" t="str">
        <f>IFERROR(VLOOKUP(K314,【参考】数式用!$AH$2:$AI$34,2,FALSE),"")</f>
        <v/>
      </c>
      <c r="AY314" s="1222" t="s">
        <v>1959</v>
      </c>
      <c r="AZ314" s="1222" t="s">
        <v>1960</v>
      </c>
      <c r="BA314" s="1222" t="s">
        <v>1961</v>
      </c>
      <c r="BB314" s="1222" t="s">
        <v>1962</v>
      </c>
      <c r="BC314" s="1222" t="str">
        <f>IF(AND(O314&lt;&gt;"新加算Ⅰ",O314&lt;&gt;"新加算Ⅱ",O314&lt;&gt;"新加算Ⅲ",O314&lt;&gt;"新加算Ⅳ"),O314,IF(P316&lt;&gt;"",P316,""))</f>
        <v/>
      </c>
      <c r="BD314" s="1222"/>
      <c r="BE314" s="1222" t="str">
        <f t="shared" ref="BE314" si="823">IF(AL314&lt;&gt;0,IF(AM314="○","入力済","未入力"),"")</f>
        <v/>
      </c>
      <c r="BF314" s="1222"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2" t="str">
        <f>IF(OR(T314="新加算Ⅴ（７）",T314="新加算Ⅴ（９）",T314="新加算Ⅴ（10）",T314="新加算Ⅴ（12）",T314="新加算Ⅴ（13）",T314="新加算Ⅴ（14）"),IF(OR(AO314="○",AO314="令和６年度中に満たす"),"入力済","未入力"),"")</f>
        <v/>
      </c>
      <c r="BH314" s="1323" t="str">
        <f t="shared" ref="BH314" si="824">IF(OR(T314="新加算Ⅰ",T314="新加算Ⅱ",T314="新加算Ⅲ",T314="新加算Ⅴ（１）",T314="新加算Ⅴ（３）",T314="新加算Ⅴ（８）"),IF(OR(AP314="○",AP314="令和６年度中に満たす"),"入力済","未入力"),"")</f>
        <v/>
      </c>
      <c r="BI314" s="1325" t="str">
        <f t="shared" ref="BI314" si="825">IF(OR(T314="新加算Ⅰ",T314="新加算Ⅱ",T314="新加算Ⅴ（１）",T314="新加算Ⅴ（２）",T314="新加算Ⅴ（３）",T314="新加算Ⅴ（４）",T314="新加算Ⅴ（５）",T314="新加算Ⅴ（６）",T314="新加算Ⅴ（７）",T314="新加算Ⅴ（９）",T314="新加算Ⅴ（10）",T314="新加算Ⅴ（12）"),1,"")</f>
        <v/>
      </c>
      <c r="BJ314" s="1303" t="str">
        <f>IF(OR(T314="新加算Ⅰ",T314="新加算Ⅴ（１）",T314="新加算Ⅴ（２）",T314="新加算Ⅴ（５）",T314="新加算Ⅴ（７）",T314="新加算Ⅴ（10）"),IF(AR314="","未入力","入力済"),"")</f>
        <v/>
      </c>
      <c r="BK314" s="452" t="str">
        <f>G314</f>
        <v/>
      </c>
    </row>
    <row r="315" spans="1:63" ht="15" customHeight="1">
      <c r="A315" s="1267"/>
      <c r="B315" s="1235"/>
      <c r="C315" s="1236"/>
      <c r="D315" s="1236"/>
      <c r="E315" s="1236"/>
      <c r="F315" s="1237"/>
      <c r="G315" s="1252"/>
      <c r="H315" s="1252"/>
      <c r="I315" s="1252"/>
      <c r="J315" s="1415"/>
      <c r="K315" s="1252"/>
      <c r="L315" s="1276"/>
      <c r="M315" s="1371" t="str">
        <f>IF('別紙様式2-2（４・５月分）'!P240="","",'別紙様式2-2（４・５月分）'!P240)</f>
        <v/>
      </c>
      <c r="N315" s="1392"/>
      <c r="O315" s="1398"/>
      <c r="P315" s="1399"/>
      <c r="Q315" s="1400"/>
      <c r="R315" s="1402"/>
      <c r="S315" s="1404"/>
      <c r="T315" s="1406"/>
      <c r="U315" s="1408"/>
      <c r="V315" s="1410"/>
      <c r="W315" s="1348"/>
      <c r="X315" s="1350"/>
      <c r="Y315" s="1348"/>
      <c r="Z315" s="1350"/>
      <c r="AA315" s="1348"/>
      <c r="AB315" s="1350"/>
      <c r="AC315" s="1348"/>
      <c r="AD315" s="1350"/>
      <c r="AE315" s="1350"/>
      <c r="AF315" s="1350"/>
      <c r="AG315" s="1352"/>
      <c r="AH315" s="1354"/>
      <c r="AI315" s="1356"/>
      <c r="AJ315" s="1358"/>
      <c r="AK315" s="1342"/>
      <c r="AL315" s="1346"/>
      <c r="AM315" s="1332"/>
      <c r="AN315" s="1338"/>
      <c r="AO315" s="1334"/>
      <c r="AP315" s="1334"/>
      <c r="AQ315" s="1336"/>
      <c r="AR315" s="1316"/>
      <c r="AS315" s="1302"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4"/>
      <c r="AU315" s="1303"/>
      <c r="AV315" s="1304" t="str">
        <f>IF('別紙様式2-2（４・５月分）'!N240="","",'別紙様式2-2（４・５月分）'!N240)</f>
        <v/>
      </c>
      <c r="AW315" s="1305"/>
      <c r="AX315" s="1306"/>
      <c r="AY315" s="1222"/>
      <c r="AZ315" s="1222"/>
      <c r="BA315" s="1222"/>
      <c r="BB315" s="1222"/>
      <c r="BC315" s="1222"/>
      <c r="BD315" s="1222"/>
      <c r="BE315" s="1222"/>
      <c r="BF315" s="1222"/>
      <c r="BG315" s="1222"/>
      <c r="BH315" s="1324"/>
      <c r="BI315" s="1326"/>
      <c r="BJ315" s="1303"/>
      <c r="BK315" s="452" t="str">
        <f>G314</f>
        <v/>
      </c>
    </row>
    <row r="316" spans="1:63" ht="15" customHeight="1">
      <c r="A316" s="1295"/>
      <c r="B316" s="1235"/>
      <c r="C316" s="1236"/>
      <c r="D316" s="1236"/>
      <c r="E316" s="1236"/>
      <c r="F316" s="1237"/>
      <c r="G316" s="1252"/>
      <c r="H316" s="1252"/>
      <c r="I316" s="1252"/>
      <c r="J316" s="1415"/>
      <c r="K316" s="1252"/>
      <c r="L316" s="1276"/>
      <c r="M316" s="1372"/>
      <c r="N316" s="1393"/>
      <c r="O316" s="1373" t="s">
        <v>2025</v>
      </c>
      <c r="P316" s="1375" t="str">
        <f>IFERROR(VLOOKUP('別紙様式2-2（４・５月分）'!AQ239,【参考】数式用!$AR$5:$AT$22,3,FALSE),"")</f>
        <v/>
      </c>
      <c r="Q316" s="1377" t="s">
        <v>2036</v>
      </c>
      <c r="R316" s="1379" t="str">
        <f>IFERROR(VLOOKUP(K314,【参考】数式用!$A$5:$AB$37,MATCH(P316,【参考】数式用!$B$4:$AB$4,0)+1,0),"")</f>
        <v/>
      </c>
      <c r="S316" s="1381" t="s">
        <v>161</v>
      </c>
      <c r="T316" s="1383"/>
      <c r="U316" s="1385" t="str">
        <f>IFERROR(VLOOKUP(K314,【参考】数式用!$A$5:$AB$37,MATCH(T316,【参考】数式用!$B$4:$AB$4,0)+1,0),"")</f>
        <v/>
      </c>
      <c r="V316" s="1387" t="s">
        <v>15</v>
      </c>
      <c r="W316" s="1389">
        <v>7</v>
      </c>
      <c r="X316" s="1363" t="s">
        <v>10</v>
      </c>
      <c r="Y316" s="1389">
        <v>4</v>
      </c>
      <c r="Z316" s="1363" t="s">
        <v>38</v>
      </c>
      <c r="AA316" s="1389">
        <v>8</v>
      </c>
      <c r="AB316" s="1363" t="s">
        <v>10</v>
      </c>
      <c r="AC316" s="1389">
        <v>3</v>
      </c>
      <c r="AD316" s="1363" t="s">
        <v>13</v>
      </c>
      <c r="AE316" s="1363" t="s">
        <v>20</v>
      </c>
      <c r="AF316" s="1363">
        <f>IF(W316&gt;=1,(AA316*12+AC316)-(W316*12+Y316)+1,"")</f>
        <v>12</v>
      </c>
      <c r="AG316" s="1359" t="s">
        <v>33</v>
      </c>
      <c r="AH316" s="1365" t="str">
        <f t="shared" ref="AH316" si="827">IFERROR(ROUNDDOWN(ROUND(L314*U316,0),0)*AF316,"")</f>
        <v/>
      </c>
      <c r="AI316" s="1367" t="str">
        <f t="shared" ref="AI316" si="828">IFERROR(ROUNDDOWN(ROUND((L314*(U316-AW314)),0),0)*AF316,"")</f>
        <v/>
      </c>
      <c r="AJ316" s="1369">
        <f>IFERROR(IF(OR(M314="",M315="",M317=""),0,ROUNDDOWN(ROUNDDOWN(ROUND(L314*VLOOKUP(K314,【参考】数式用!$A$5:$AB$37,MATCH("新加算Ⅳ",【参考】数式用!$B$4:$AB$4,0)+1,0),0),0)*AF316*0.5,0)),"")</f>
        <v>0</v>
      </c>
      <c r="AK316" s="1339" t="str">
        <f t="shared" ref="AK316" si="829">IF(T316&lt;&gt;"","新規に適用","")</f>
        <v/>
      </c>
      <c r="AL316" s="1343">
        <f>IFERROR(IF(OR(M317="ベア加算",M317=""),0, IF(OR(T314="新加算Ⅰ",T314="新加算Ⅱ",T314="新加算Ⅲ",T314="新加算Ⅳ"),0,ROUNDDOWN(ROUND(L314*VLOOKUP(K314,【参考】数式用!$A$5:$I$37,MATCH("ベア加算",【参考】数式用!$B$4:$I$4,0)+1,0),0),0)*AF316)),"")</f>
        <v>0</v>
      </c>
      <c r="AM316" s="1313" t="str">
        <f>IF(AND(T316&lt;&gt;"",AM314=""),"新規に適用",IF(AND(T316&lt;&gt;"",AM314&lt;&gt;""),"継続で適用",""))</f>
        <v/>
      </c>
      <c r="AN316" s="1313" t="str">
        <f>IF(AND(T316&lt;&gt;"",AN314=""),"新規に適用",IF(AND(T316&lt;&gt;"",AN314&lt;&gt;""),"継続で適用",""))</f>
        <v/>
      </c>
      <c r="AO316" s="1361"/>
      <c r="AP316" s="1313" t="str">
        <f>IF(AND(T316&lt;&gt;"",AP314=""),"新規に適用",IF(AND(T316&lt;&gt;"",AP314&lt;&gt;""),"継続で適用",""))</f>
        <v/>
      </c>
      <c r="AQ316" s="1317" t="str">
        <f t="shared" si="774"/>
        <v/>
      </c>
      <c r="AR316" s="1313" t="str">
        <f>IF(AND(T316&lt;&gt;"",AR314=""),"新規に適用",IF(AND(T316&lt;&gt;"",AR314&lt;&gt;""),"継続で適用",""))</f>
        <v/>
      </c>
      <c r="AS316" s="1302"/>
      <c r="AT316" s="554"/>
      <c r="AU316" s="1303" t="str">
        <f>IF(K314&lt;&gt;"","V列に色付け","")</f>
        <v/>
      </c>
      <c r="AV316" s="1304"/>
      <c r="AW316" s="1305"/>
      <c r="AX316"/>
      <c r="AY316"/>
      <c r="AZ316"/>
      <c r="BA316"/>
      <c r="BB316"/>
      <c r="BC316"/>
      <c r="BD316"/>
      <c r="BE316"/>
      <c r="BF316"/>
      <c r="BG316"/>
      <c r="BH316"/>
      <c r="BI316"/>
      <c r="BJ316"/>
      <c r="BK316" s="452" t="str">
        <f>G314</f>
        <v/>
      </c>
    </row>
    <row r="317" spans="1:63" ht="30" customHeight="1" thickBot="1">
      <c r="A317" s="1268"/>
      <c r="B317" s="1411"/>
      <c r="C317" s="1412"/>
      <c r="D317" s="1412"/>
      <c r="E317" s="1412"/>
      <c r="F317" s="1413"/>
      <c r="G317" s="1253"/>
      <c r="H317" s="1253"/>
      <c r="I317" s="1253"/>
      <c r="J317" s="1416"/>
      <c r="K317" s="1253"/>
      <c r="L317" s="1277"/>
      <c r="M317" s="553" t="str">
        <f>IF('別紙様式2-2（４・５月分）'!P241="","",'別紙様式2-2（４・５月分）'!P241)</f>
        <v/>
      </c>
      <c r="N317" s="1394"/>
      <c r="O317" s="1374"/>
      <c r="P317" s="1376"/>
      <c r="Q317" s="1378"/>
      <c r="R317" s="1380"/>
      <c r="S317" s="1382"/>
      <c r="T317" s="1384"/>
      <c r="U317" s="1386"/>
      <c r="V317" s="1388"/>
      <c r="W317" s="1390"/>
      <c r="X317" s="1364"/>
      <c r="Y317" s="1390"/>
      <c r="Z317" s="1364"/>
      <c r="AA317" s="1390"/>
      <c r="AB317" s="1364"/>
      <c r="AC317" s="1390"/>
      <c r="AD317" s="1364"/>
      <c r="AE317" s="1364"/>
      <c r="AF317" s="1364"/>
      <c r="AG317" s="1360"/>
      <c r="AH317" s="1366"/>
      <c r="AI317" s="1368"/>
      <c r="AJ317" s="1370"/>
      <c r="AK317" s="1340"/>
      <c r="AL317" s="1344"/>
      <c r="AM317" s="1314"/>
      <c r="AN317" s="1314"/>
      <c r="AO317" s="1362"/>
      <c r="AP317" s="1314"/>
      <c r="AQ317" s="1318"/>
      <c r="AR317" s="1314"/>
      <c r="AS317" s="490"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4"/>
      <c r="AU317" s="1303"/>
      <c r="AV317" s="555" t="str">
        <f>IF('別紙様式2-2（４・５月分）'!N241="","",'別紙様式2-2（４・５月分）'!N241)</f>
        <v/>
      </c>
      <c r="AW317" s="1305"/>
      <c r="AX317"/>
      <c r="AY317"/>
      <c r="AZ317"/>
      <c r="BA317"/>
      <c r="BB317"/>
      <c r="BC317"/>
      <c r="BD317"/>
      <c r="BE317"/>
      <c r="BF317"/>
      <c r="BG317"/>
      <c r="BH317"/>
      <c r="BI317"/>
      <c r="BJ317"/>
      <c r="BK317" s="452" t="str">
        <f>G314</f>
        <v/>
      </c>
    </row>
    <row r="318" spans="1:63" ht="30" customHeight="1">
      <c r="A318" s="1266">
        <v>77</v>
      </c>
      <c r="B318" s="1232" t="str">
        <f>IF(基本情報入力シート!C130="","",基本情報入力シート!C130)</f>
        <v/>
      </c>
      <c r="C318" s="1233"/>
      <c r="D318" s="1233"/>
      <c r="E318" s="1233"/>
      <c r="F318" s="1234"/>
      <c r="G318" s="1251" t="str">
        <f>IF(基本情報入力シート!M130="","",基本情報入力シート!M130)</f>
        <v/>
      </c>
      <c r="H318" s="1251" t="str">
        <f>IF(基本情報入力シート!R130="","",基本情報入力シート!R130)</f>
        <v/>
      </c>
      <c r="I318" s="1251" t="str">
        <f>IF(基本情報入力シート!W130="","",基本情報入力シート!W130)</f>
        <v/>
      </c>
      <c r="J318" s="1414" t="str">
        <f>IF(基本情報入力シート!X130="","",基本情報入力シート!X130)</f>
        <v/>
      </c>
      <c r="K318" s="1251" t="str">
        <f>IF(基本情報入力シート!Y130="","",基本情報入力シート!Y130)</f>
        <v/>
      </c>
      <c r="L318" s="1275" t="str">
        <f>IF(基本情報入力シート!AB130="","",基本情報入力シート!AB130)</f>
        <v/>
      </c>
      <c r="M318" s="550" t="str">
        <f>IF('別紙様式2-2（４・５月分）'!P242="","",'別紙様式2-2（４・５月分）'!P242)</f>
        <v/>
      </c>
      <c r="N318" s="1391" t="str">
        <f>IF(SUM('別紙様式2-2（４・５月分）'!Q242:Q244)=0,"",SUM('別紙様式2-2（４・５月分）'!Q242:Q244))</f>
        <v/>
      </c>
      <c r="O318" s="1395" t="str">
        <f>IFERROR(VLOOKUP('別紙様式2-2（４・５月分）'!AQ242,【参考】数式用!$AR$5:$AS$22,2,FALSE),"")</f>
        <v/>
      </c>
      <c r="P318" s="1396"/>
      <c r="Q318" s="1397"/>
      <c r="R318" s="1401" t="str">
        <f>IFERROR(VLOOKUP(K318,【参考】数式用!$A$5:$AB$37,MATCH(O318,【参考】数式用!$B$4:$AB$4,0)+1,0),"")</f>
        <v/>
      </c>
      <c r="S318" s="1403" t="s">
        <v>2021</v>
      </c>
      <c r="T318" s="1405"/>
      <c r="U318" s="1407" t="str">
        <f>IFERROR(VLOOKUP(K318,【参考】数式用!$A$5:$AB$37,MATCH(T318,【参考】数式用!$B$4:$AB$4,0)+1,0),"")</f>
        <v/>
      </c>
      <c r="V318" s="1409" t="s">
        <v>15</v>
      </c>
      <c r="W318" s="1347">
        <v>6</v>
      </c>
      <c r="X318" s="1349" t="s">
        <v>10</v>
      </c>
      <c r="Y318" s="1347">
        <v>6</v>
      </c>
      <c r="Z318" s="1349" t="s">
        <v>38</v>
      </c>
      <c r="AA318" s="1347">
        <v>7</v>
      </c>
      <c r="AB318" s="1349" t="s">
        <v>10</v>
      </c>
      <c r="AC318" s="1347">
        <v>3</v>
      </c>
      <c r="AD318" s="1349" t="s">
        <v>13</v>
      </c>
      <c r="AE318" s="1349" t="s">
        <v>20</v>
      </c>
      <c r="AF318" s="1349">
        <f>IF(W318&gt;=1,(AA318*12+AC318)-(W318*12+Y318)+1,"")</f>
        <v>10</v>
      </c>
      <c r="AG318" s="1351" t="s">
        <v>33</v>
      </c>
      <c r="AH318" s="1353" t="str">
        <f t="shared" ref="AH318" si="831">IFERROR(ROUNDDOWN(ROUND(L318*U318,0),0)*AF318,"")</f>
        <v/>
      </c>
      <c r="AI318" s="1355" t="str">
        <f t="shared" ref="AI318" si="832">IFERROR(ROUNDDOWN(ROUND((L318*(U318-AW318)),0),0)*AF318,"")</f>
        <v/>
      </c>
      <c r="AJ318" s="1357">
        <f>IFERROR(IF(OR(M318="",M319="",M321=""),0,ROUNDDOWN(ROUNDDOWN(ROUND(L318*VLOOKUP(K318,【参考】数式用!$A$5:$AB$37,MATCH("新加算Ⅳ",【参考】数式用!$B$4:$AB$4,0)+1,0),0),0)*AF318*0.5,0)),"")</f>
        <v>0</v>
      </c>
      <c r="AK318" s="1341"/>
      <c r="AL318" s="1345">
        <f>IFERROR(IF(OR(M321="ベア加算",M321=""),0, IF(OR(T318="新加算Ⅰ",T318="新加算Ⅱ",T318="新加算Ⅲ",T318="新加算Ⅳ"),ROUNDDOWN(ROUND(L318*VLOOKUP(K318,【参考】数式用!$A$5:$I$37,MATCH("ベア加算",【参考】数式用!$B$4:$I$4,0)+1,0),0),0)*AF318,0)),"")</f>
        <v>0</v>
      </c>
      <c r="AM318" s="1331"/>
      <c r="AN318" s="1337"/>
      <c r="AO318" s="1333"/>
      <c r="AP318" s="1333"/>
      <c r="AQ318" s="1335"/>
      <c r="AR318" s="1315"/>
      <c r="AS318" s="465" t="str">
        <f t="shared" ref="AS318" si="833">IF(AU318="","",IF(U318&lt;N318,"！加算の要件上は問題ありませんが、令和６年４・５月と比較して令和６年６月に加算率が下がる計画になっています。",""))</f>
        <v/>
      </c>
      <c r="AT318" s="554"/>
      <c r="AU318" s="1303" t="str">
        <f>IF(K318&lt;&gt;"","V列に色付け","")</f>
        <v/>
      </c>
      <c r="AV318" s="555" t="str">
        <f>IF('別紙様式2-2（４・５月分）'!N242="","",'別紙様式2-2（４・５月分）'!N242)</f>
        <v/>
      </c>
      <c r="AW318" s="1305" t="str">
        <f>IF(SUM('別紙様式2-2（４・５月分）'!O242:O244)=0,"",SUM('別紙様式2-2（４・５月分）'!O242:O244))</f>
        <v/>
      </c>
      <c r="AX318" s="1306" t="str">
        <f>IFERROR(VLOOKUP(K318,【参考】数式用!$AH$2:$AI$34,2,FALSE),"")</f>
        <v/>
      </c>
      <c r="AY318" s="1222" t="s">
        <v>1959</v>
      </c>
      <c r="AZ318" s="1222" t="s">
        <v>1960</v>
      </c>
      <c r="BA318" s="1222" t="s">
        <v>1961</v>
      </c>
      <c r="BB318" s="1222" t="s">
        <v>1962</v>
      </c>
      <c r="BC318" s="1222" t="str">
        <f>IF(AND(O318&lt;&gt;"新加算Ⅰ",O318&lt;&gt;"新加算Ⅱ",O318&lt;&gt;"新加算Ⅲ",O318&lt;&gt;"新加算Ⅳ"),O318,IF(P320&lt;&gt;"",P320,""))</f>
        <v/>
      </c>
      <c r="BD318" s="1222"/>
      <c r="BE318" s="1222" t="str">
        <f t="shared" ref="BE318" si="834">IF(AL318&lt;&gt;0,IF(AM318="○","入力済","未入力"),"")</f>
        <v/>
      </c>
      <c r="BF318" s="1222"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2" t="str">
        <f>IF(OR(T318="新加算Ⅴ（７）",T318="新加算Ⅴ（９）",T318="新加算Ⅴ（10）",T318="新加算Ⅴ（12）",T318="新加算Ⅴ（13）",T318="新加算Ⅴ（14）"),IF(OR(AO318="○",AO318="令和６年度中に満たす"),"入力済","未入力"),"")</f>
        <v/>
      </c>
      <c r="BH318" s="1323" t="str">
        <f t="shared" ref="BH318" si="835">IF(OR(T318="新加算Ⅰ",T318="新加算Ⅱ",T318="新加算Ⅲ",T318="新加算Ⅴ（１）",T318="新加算Ⅴ（３）",T318="新加算Ⅴ（８）"),IF(OR(AP318="○",AP318="令和６年度中に満たす"),"入力済","未入力"),"")</f>
        <v/>
      </c>
      <c r="BI318" s="1325" t="str">
        <f t="shared" ref="BI318" si="836">IF(OR(T318="新加算Ⅰ",T318="新加算Ⅱ",T318="新加算Ⅴ（１）",T318="新加算Ⅴ（２）",T318="新加算Ⅴ（３）",T318="新加算Ⅴ（４）",T318="新加算Ⅴ（５）",T318="新加算Ⅴ（６）",T318="新加算Ⅴ（７）",T318="新加算Ⅴ（９）",T318="新加算Ⅴ（10）",T318="新加算Ⅴ（12）"),1,"")</f>
        <v/>
      </c>
      <c r="BJ318" s="1303" t="str">
        <f>IF(OR(T318="新加算Ⅰ",T318="新加算Ⅴ（１）",T318="新加算Ⅴ（２）",T318="新加算Ⅴ（５）",T318="新加算Ⅴ（７）",T318="新加算Ⅴ（10）"),IF(AR318="","未入力","入力済"),"")</f>
        <v/>
      </c>
      <c r="BK318" s="452" t="str">
        <f>G318</f>
        <v/>
      </c>
    </row>
    <row r="319" spans="1:63" ht="15" customHeight="1">
      <c r="A319" s="1267"/>
      <c r="B319" s="1235"/>
      <c r="C319" s="1236"/>
      <c r="D319" s="1236"/>
      <c r="E319" s="1236"/>
      <c r="F319" s="1237"/>
      <c r="G319" s="1252"/>
      <c r="H319" s="1252"/>
      <c r="I319" s="1252"/>
      <c r="J319" s="1415"/>
      <c r="K319" s="1252"/>
      <c r="L319" s="1276"/>
      <c r="M319" s="1371" t="str">
        <f>IF('別紙様式2-2（４・５月分）'!P243="","",'別紙様式2-2（４・５月分）'!P243)</f>
        <v/>
      </c>
      <c r="N319" s="1392"/>
      <c r="O319" s="1398"/>
      <c r="P319" s="1399"/>
      <c r="Q319" s="1400"/>
      <c r="R319" s="1402"/>
      <c r="S319" s="1404"/>
      <c r="T319" s="1406"/>
      <c r="U319" s="1408"/>
      <c r="V319" s="1410"/>
      <c r="W319" s="1348"/>
      <c r="X319" s="1350"/>
      <c r="Y319" s="1348"/>
      <c r="Z319" s="1350"/>
      <c r="AA319" s="1348"/>
      <c r="AB319" s="1350"/>
      <c r="AC319" s="1348"/>
      <c r="AD319" s="1350"/>
      <c r="AE319" s="1350"/>
      <c r="AF319" s="1350"/>
      <c r="AG319" s="1352"/>
      <c r="AH319" s="1354"/>
      <c r="AI319" s="1356"/>
      <c r="AJ319" s="1358"/>
      <c r="AK319" s="1342"/>
      <c r="AL319" s="1346"/>
      <c r="AM319" s="1332"/>
      <c r="AN319" s="1338"/>
      <c r="AO319" s="1334"/>
      <c r="AP319" s="1334"/>
      <c r="AQ319" s="1336"/>
      <c r="AR319" s="1316"/>
      <c r="AS319" s="1302"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4"/>
      <c r="AU319" s="1303"/>
      <c r="AV319" s="1304" t="str">
        <f>IF('別紙様式2-2（４・５月分）'!N243="","",'別紙様式2-2（４・５月分）'!N243)</f>
        <v/>
      </c>
      <c r="AW319" s="1305"/>
      <c r="AX319" s="1306"/>
      <c r="AY319" s="1222"/>
      <c r="AZ319" s="1222"/>
      <c r="BA319" s="1222"/>
      <c r="BB319" s="1222"/>
      <c r="BC319" s="1222"/>
      <c r="BD319" s="1222"/>
      <c r="BE319" s="1222"/>
      <c r="BF319" s="1222"/>
      <c r="BG319" s="1222"/>
      <c r="BH319" s="1324"/>
      <c r="BI319" s="1326"/>
      <c r="BJ319" s="1303"/>
      <c r="BK319" s="452" t="str">
        <f>G318</f>
        <v/>
      </c>
    </row>
    <row r="320" spans="1:63" ht="15" customHeight="1">
      <c r="A320" s="1295"/>
      <c r="B320" s="1235"/>
      <c r="C320" s="1236"/>
      <c r="D320" s="1236"/>
      <c r="E320" s="1236"/>
      <c r="F320" s="1237"/>
      <c r="G320" s="1252"/>
      <c r="H320" s="1252"/>
      <c r="I320" s="1252"/>
      <c r="J320" s="1415"/>
      <c r="K320" s="1252"/>
      <c r="L320" s="1276"/>
      <c r="M320" s="1372"/>
      <c r="N320" s="1393"/>
      <c r="O320" s="1373" t="s">
        <v>2025</v>
      </c>
      <c r="P320" s="1375" t="str">
        <f>IFERROR(VLOOKUP('別紙様式2-2（４・５月分）'!AQ242,【参考】数式用!$AR$5:$AT$22,3,FALSE),"")</f>
        <v/>
      </c>
      <c r="Q320" s="1377" t="s">
        <v>2036</v>
      </c>
      <c r="R320" s="1379" t="str">
        <f>IFERROR(VLOOKUP(K318,【参考】数式用!$A$5:$AB$37,MATCH(P320,【参考】数式用!$B$4:$AB$4,0)+1,0),"")</f>
        <v/>
      </c>
      <c r="S320" s="1381" t="s">
        <v>161</v>
      </c>
      <c r="T320" s="1383"/>
      <c r="U320" s="1385" t="str">
        <f>IFERROR(VLOOKUP(K318,【参考】数式用!$A$5:$AB$37,MATCH(T320,【参考】数式用!$B$4:$AB$4,0)+1,0),"")</f>
        <v/>
      </c>
      <c r="V320" s="1387" t="s">
        <v>15</v>
      </c>
      <c r="W320" s="1389">
        <v>7</v>
      </c>
      <c r="X320" s="1363" t="s">
        <v>10</v>
      </c>
      <c r="Y320" s="1389">
        <v>4</v>
      </c>
      <c r="Z320" s="1363" t="s">
        <v>38</v>
      </c>
      <c r="AA320" s="1389">
        <v>8</v>
      </c>
      <c r="AB320" s="1363" t="s">
        <v>10</v>
      </c>
      <c r="AC320" s="1389">
        <v>3</v>
      </c>
      <c r="AD320" s="1363" t="s">
        <v>13</v>
      </c>
      <c r="AE320" s="1363" t="s">
        <v>20</v>
      </c>
      <c r="AF320" s="1363">
        <f>IF(W320&gt;=1,(AA320*12+AC320)-(W320*12+Y320)+1,"")</f>
        <v>12</v>
      </c>
      <c r="AG320" s="1359" t="s">
        <v>33</v>
      </c>
      <c r="AH320" s="1365" t="str">
        <f t="shared" ref="AH320" si="838">IFERROR(ROUNDDOWN(ROUND(L318*U320,0),0)*AF320,"")</f>
        <v/>
      </c>
      <c r="AI320" s="1367" t="str">
        <f t="shared" ref="AI320" si="839">IFERROR(ROUNDDOWN(ROUND((L318*(U320-AW318)),0),0)*AF320,"")</f>
        <v/>
      </c>
      <c r="AJ320" s="1369">
        <f>IFERROR(IF(OR(M318="",M319="",M321=""),0,ROUNDDOWN(ROUNDDOWN(ROUND(L318*VLOOKUP(K318,【参考】数式用!$A$5:$AB$37,MATCH("新加算Ⅳ",【参考】数式用!$B$4:$AB$4,0)+1,0),0),0)*AF320*0.5,0)),"")</f>
        <v>0</v>
      </c>
      <c r="AK320" s="1339" t="str">
        <f t="shared" ref="AK320" si="840">IF(T320&lt;&gt;"","新規に適用","")</f>
        <v/>
      </c>
      <c r="AL320" s="1343">
        <f>IFERROR(IF(OR(M321="ベア加算",M321=""),0, IF(OR(T318="新加算Ⅰ",T318="新加算Ⅱ",T318="新加算Ⅲ",T318="新加算Ⅳ"),0,ROUNDDOWN(ROUND(L318*VLOOKUP(K318,【参考】数式用!$A$5:$I$37,MATCH("ベア加算",【参考】数式用!$B$4:$I$4,0)+1,0),0),0)*AF320)),"")</f>
        <v>0</v>
      </c>
      <c r="AM320" s="1313" t="str">
        <f>IF(AND(T320&lt;&gt;"",AM318=""),"新規に適用",IF(AND(T320&lt;&gt;"",AM318&lt;&gt;""),"継続で適用",""))</f>
        <v/>
      </c>
      <c r="AN320" s="1313" t="str">
        <f>IF(AND(T320&lt;&gt;"",AN318=""),"新規に適用",IF(AND(T320&lt;&gt;"",AN318&lt;&gt;""),"継続で適用",""))</f>
        <v/>
      </c>
      <c r="AO320" s="1361"/>
      <c r="AP320" s="1313" t="str">
        <f>IF(AND(T320&lt;&gt;"",AP318=""),"新規に適用",IF(AND(T320&lt;&gt;"",AP318&lt;&gt;""),"継続で適用",""))</f>
        <v/>
      </c>
      <c r="AQ320" s="1317" t="str">
        <f t="shared" si="774"/>
        <v/>
      </c>
      <c r="AR320" s="1313" t="str">
        <f>IF(AND(T320&lt;&gt;"",AR318=""),"新規に適用",IF(AND(T320&lt;&gt;"",AR318&lt;&gt;""),"継続で適用",""))</f>
        <v/>
      </c>
      <c r="AS320" s="1302"/>
      <c r="AT320" s="554"/>
      <c r="AU320" s="1303" t="str">
        <f>IF(K318&lt;&gt;"","V列に色付け","")</f>
        <v/>
      </c>
      <c r="AV320" s="1304"/>
      <c r="AW320" s="1305"/>
      <c r="AX320"/>
      <c r="AY320"/>
      <c r="AZ320"/>
      <c r="BA320"/>
      <c r="BB320"/>
      <c r="BC320"/>
      <c r="BD320"/>
      <c r="BE320"/>
      <c r="BF320"/>
      <c r="BG320"/>
      <c r="BH320"/>
      <c r="BI320"/>
      <c r="BJ320"/>
      <c r="BK320" s="452" t="str">
        <f>G318</f>
        <v/>
      </c>
    </row>
    <row r="321" spans="1:63" ht="30" customHeight="1" thickBot="1">
      <c r="A321" s="1268"/>
      <c r="B321" s="1411"/>
      <c r="C321" s="1412"/>
      <c r="D321" s="1412"/>
      <c r="E321" s="1412"/>
      <c r="F321" s="1413"/>
      <c r="G321" s="1253"/>
      <c r="H321" s="1253"/>
      <c r="I321" s="1253"/>
      <c r="J321" s="1416"/>
      <c r="K321" s="1253"/>
      <c r="L321" s="1277"/>
      <c r="M321" s="553" t="str">
        <f>IF('別紙様式2-2（４・５月分）'!P244="","",'別紙様式2-2（４・５月分）'!P244)</f>
        <v/>
      </c>
      <c r="N321" s="1394"/>
      <c r="O321" s="1374"/>
      <c r="P321" s="1376"/>
      <c r="Q321" s="1378"/>
      <c r="R321" s="1380"/>
      <c r="S321" s="1382"/>
      <c r="T321" s="1384"/>
      <c r="U321" s="1386"/>
      <c r="V321" s="1388"/>
      <c r="W321" s="1390"/>
      <c r="X321" s="1364"/>
      <c r="Y321" s="1390"/>
      <c r="Z321" s="1364"/>
      <c r="AA321" s="1390"/>
      <c r="AB321" s="1364"/>
      <c r="AC321" s="1390"/>
      <c r="AD321" s="1364"/>
      <c r="AE321" s="1364"/>
      <c r="AF321" s="1364"/>
      <c r="AG321" s="1360"/>
      <c r="AH321" s="1366"/>
      <c r="AI321" s="1368"/>
      <c r="AJ321" s="1370"/>
      <c r="AK321" s="1340"/>
      <c r="AL321" s="1344"/>
      <c r="AM321" s="1314"/>
      <c r="AN321" s="1314"/>
      <c r="AO321" s="1362"/>
      <c r="AP321" s="1314"/>
      <c r="AQ321" s="1318"/>
      <c r="AR321" s="1314"/>
      <c r="AS321" s="490"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4"/>
      <c r="AU321" s="1303"/>
      <c r="AV321" s="555" t="str">
        <f>IF('別紙様式2-2（４・５月分）'!N244="","",'別紙様式2-2（４・５月分）'!N244)</f>
        <v/>
      </c>
      <c r="AW321" s="1305"/>
      <c r="AX321"/>
      <c r="AY321"/>
      <c r="AZ321"/>
      <c r="BA321"/>
      <c r="BB321"/>
      <c r="BC321"/>
      <c r="BD321"/>
      <c r="BE321"/>
      <c r="BF321"/>
      <c r="BG321"/>
      <c r="BH321"/>
      <c r="BI321"/>
      <c r="BJ321"/>
      <c r="BK321" s="452" t="str">
        <f>G318</f>
        <v/>
      </c>
    </row>
    <row r="322" spans="1:63" ht="30" customHeight="1">
      <c r="A322" s="1293">
        <v>78</v>
      </c>
      <c r="B322" s="1235" t="str">
        <f>IF(基本情報入力シート!C131="","",基本情報入力シート!C131)</f>
        <v/>
      </c>
      <c r="C322" s="1236"/>
      <c r="D322" s="1236"/>
      <c r="E322" s="1236"/>
      <c r="F322" s="1237"/>
      <c r="G322" s="1252" t="str">
        <f>IF(基本情報入力シート!M131="","",基本情報入力シート!M131)</f>
        <v/>
      </c>
      <c r="H322" s="1252" t="str">
        <f>IF(基本情報入力シート!R131="","",基本情報入力シート!R131)</f>
        <v/>
      </c>
      <c r="I322" s="1252" t="str">
        <f>IF(基本情報入力シート!W131="","",基本情報入力シート!W131)</f>
        <v/>
      </c>
      <c r="J322" s="1415" t="str">
        <f>IF(基本情報入力シート!X131="","",基本情報入力シート!X131)</f>
        <v/>
      </c>
      <c r="K322" s="1252" t="str">
        <f>IF(基本情報入力シート!Y131="","",基本情報入力シート!Y131)</f>
        <v/>
      </c>
      <c r="L322" s="1276" t="str">
        <f>IF(基本情報入力シート!AB131="","",基本情報入力シート!AB131)</f>
        <v/>
      </c>
      <c r="M322" s="550" t="str">
        <f>IF('別紙様式2-2（４・５月分）'!P245="","",'別紙様式2-2（４・５月分）'!P245)</f>
        <v/>
      </c>
      <c r="N322" s="1391" t="str">
        <f>IF(SUM('別紙様式2-2（４・５月分）'!Q245:Q247)=0,"",SUM('別紙様式2-2（４・５月分）'!Q245:Q247))</f>
        <v/>
      </c>
      <c r="O322" s="1395" t="str">
        <f>IFERROR(VLOOKUP('別紙様式2-2（４・５月分）'!AQ245,【参考】数式用!$AR$5:$AS$22,2,FALSE),"")</f>
        <v/>
      </c>
      <c r="P322" s="1396"/>
      <c r="Q322" s="1397"/>
      <c r="R322" s="1401" t="str">
        <f>IFERROR(VLOOKUP(K322,【参考】数式用!$A$5:$AB$37,MATCH(O322,【参考】数式用!$B$4:$AB$4,0)+1,0),"")</f>
        <v/>
      </c>
      <c r="S322" s="1403" t="s">
        <v>2021</v>
      </c>
      <c r="T322" s="1405"/>
      <c r="U322" s="1407" t="str">
        <f>IFERROR(VLOOKUP(K322,【参考】数式用!$A$5:$AB$37,MATCH(T322,【参考】数式用!$B$4:$AB$4,0)+1,0),"")</f>
        <v/>
      </c>
      <c r="V322" s="1409" t="s">
        <v>15</v>
      </c>
      <c r="W322" s="1347">
        <v>6</v>
      </c>
      <c r="X322" s="1349" t="s">
        <v>10</v>
      </c>
      <c r="Y322" s="1347">
        <v>6</v>
      </c>
      <c r="Z322" s="1349" t="s">
        <v>38</v>
      </c>
      <c r="AA322" s="1347">
        <v>7</v>
      </c>
      <c r="AB322" s="1349" t="s">
        <v>10</v>
      </c>
      <c r="AC322" s="1347">
        <v>3</v>
      </c>
      <c r="AD322" s="1349" t="s">
        <v>13</v>
      </c>
      <c r="AE322" s="1349" t="s">
        <v>20</v>
      </c>
      <c r="AF322" s="1349">
        <f>IF(W322&gt;=1,(AA322*12+AC322)-(W322*12+Y322)+1,"")</f>
        <v>10</v>
      </c>
      <c r="AG322" s="1351" t="s">
        <v>33</v>
      </c>
      <c r="AH322" s="1353" t="str">
        <f t="shared" ref="AH322" si="842">IFERROR(ROUNDDOWN(ROUND(L322*U322,0),0)*AF322,"")</f>
        <v/>
      </c>
      <c r="AI322" s="1355" t="str">
        <f t="shared" ref="AI322" si="843">IFERROR(ROUNDDOWN(ROUND((L322*(U322-AW322)),0),0)*AF322,"")</f>
        <v/>
      </c>
      <c r="AJ322" s="1357">
        <f>IFERROR(IF(OR(M322="",M323="",M325=""),0,ROUNDDOWN(ROUNDDOWN(ROUND(L322*VLOOKUP(K322,【参考】数式用!$A$5:$AB$37,MATCH("新加算Ⅳ",【参考】数式用!$B$4:$AB$4,0)+1,0),0),0)*AF322*0.5,0)),"")</f>
        <v>0</v>
      </c>
      <c r="AK322" s="1341"/>
      <c r="AL322" s="1345">
        <f>IFERROR(IF(OR(M325="ベア加算",M325=""),0, IF(OR(T322="新加算Ⅰ",T322="新加算Ⅱ",T322="新加算Ⅲ",T322="新加算Ⅳ"),ROUNDDOWN(ROUND(L322*VLOOKUP(K322,【参考】数式用!$A$5:$I$37,MATCH("ベア加算",【参考】数式用!$B$4:$I$4,0)+1,0),0),0)*AF322,0)),"")</f>
        <v>0</v>
      </c>
      <c r="AM322" s="1331"/>
      <c r="AN322" s="1337"/>
      <c r="AO322" s="1333"/>
      <c r="AP322" s="1333"/>
      <c r="AQ322" s="1335"/>
      <c r="AR322" s="1315"/>
      <c r="AS322" s="465" t="str">
        <f t="shared" ref="AS322" si="844">IF(AU322="","",IF(U322&lt;N322,"！加算の要件上は問題ありませんが、令和６年４・５月と比較して令和６年６月に加算率が下がる計画になっています。",""))</f>
        <v/>
      </c>
      <c r="AT322" s="554"/>
      <c r="AU322" s="1303" t="str">
        <f>IF(K322&lt;&gt;"","V列に色付け","")</f>
        <v/>
      </c>
      <c r="AV322" s="555" t="str">
        <f>IF('別紙様式2-2（４・５月分）'!N245="","",'別紙様式2-2（４・５月分）'!N245)</f>
        <v/>
      </c>
      <c r="AW322" s="1305" t="str">
        <f>IF(SUM('別紙様式2-2（４・５月分）'!O245:O247)=0,"",SUM('別紙様式2-2（４・５月分）'!O245:O247))</f>
        <v/>
      </c>
      <c r="AX322" s="1306" t="str">
        <f>IFERROR(VLOOKUP(K322,【参考】数式用!$AH$2:$AI$34,2,FALSE),"")</f>
        <v/>
      </c>
      <c r="AY322" s="1222" t="s">
        <v>1959</v>
      </c>
      <c r="AZ322" s="1222" t="s">
        <v>1960</v>
      </c>
      <c r="BA322" s="1222" t="s">
        <v>1961</v>
      </c>
      <c r="BB322" s="1222" t="s">
        <v>1962</v>
      </c>
      <c r="BC322" s="1222" t="str">
        <f>IF(AND(O322&lt;&gt;"新加算Ⅰ",O322&lt;&gt;"新加算Ⅱ",O322&lt;&gt;"新加算Ⅲ",O322&lt;&gt;"新加算Ⅳ"),O322,IF(P324&lt;&gt;"",P324,""))</f>
        <v/>
      </c>
      <c r="BD322" s="1222"/>
      <c r="BE322" s="1222" t="str">
        <f t="shared" ref="BE322" si="845">IF(AL322&lt;&gt;0,IF(AM322="○","入力済","未入力"),"")</f>
        <v/>
      </c>
      <c r="BF322" s="1222"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2" t="str">
        <f>IF(OR(T322="新加算Ⅴ（７）",T322="新加算Ⅴ（９）",T322="新加算Ⅴ（10）",T322="新加算Ⅴ（12）",T322="新加算Ⅴ（13）",T322="新加算Ⅴ（14）"),IF(OR(AO322="○",AO322="令和６年度中に満たす"),"入力済","未入力"),"")</f>
        <v/>
      </c>
      <c r="BH322" s="1323" t="str">
        <f t="shared" ref="BH322" si="846">IF(OR(T322="新加算Ⅰ",T322="新加算Ⅱ",T322="新加算Ⅲ",T322="新加算Ⅴ（１）",T322="新加算Ⅴ（３）",T322="新加算Ⅴ（８）"),IF(OR(AP322="○",AP322="令和６年度中に満たす"),"入力済","未入力"),"")</f>
        <v/>
      </c>
      <c r="BI322" s="1325" t="str">
        <f t="shared" ref="BI322" si="847">IF(OR(T322="新加算Ⅰ",T322="新加算Ⅱ",T322="新加算Ⅴ（１）",T322="新加算Ⅴ（２）",T322="新加算Ⅴ（３）",T322="新加算Ⅴ（４）",T322="新加算Ⅴ（５）",T322="新加算Ⅴ（６）",T322="新加算Ⅴ（７）",T322="新加算Ⅴ（９）",T322="新加算Ⅴ（10）",T322="新加算Ⅴ（12）"),1,"")</f>
        <v/>
      </c>
      <c r="BJ322" s="1303" t="str">
        <f>IF(OR(T322="新加算Ⅰ",T322="新加算Ⅴ（１）",T322="新加算Ⅴ（２）",T322="新加算Ⅴ（５）",T322="新加算Ⅴ（７）",T322="新加算Ⅴ（10）"),IF(AR322="","未入力","入力済"),"")</f>
        <v/>
      </c>
      <c r="BK322" s="452" t="str">
        <f>G322</f>
        <v/>
      </c>
    </row>
    <row r="323" spans="1:63" ht="15" customHeight="1">
      <c r="A323" s="1267"/>
      <c r="B323" s="1235"/>
      <c r="C323" s="1236"/>
      <c r="D323" s="1236"/>
      <c r="E323" s="1236"/>
      <c r="F323" s="1237"/>
      <c r="G323" s="1252"/>
      <c r="H323" s="1252"/>
      <c r="I323" s="1252"/>
      <c r="J323" s="1415"/>
      <c r="K323" s="1252"/>
      <c r="L323" s="1276"/>
      <c r="M323" s="1371" t="str">
        <f>IF('別紙様式2-2（４・５月分）'!P246="","",'別紙様式2-2（４・５月分）'!P246)</f>
        <v/>
      </c>
      <c r="N323" s="1392"/>
      <c r="O323" s="1398"/>
      <c r="P323" s="1399"/>
      <c r="Q323" s="1400"/>
      <c r="R323" s="1402"/>
      <c r="S323" s="1404"/>
      <c r="T323" s="1406"/>
      <c r="U323" s="1408"/>
      <c r="V323" s="1410"/>
      <c r="W323" s="1348"/>
      <c r="X323" s="1350"/>
      <c r="Y323" s="1348"/>
      <c r="Z323" s="1350"/>
      <c r="AA323" s="1348"/>
      <c r="AB323" s="1350"/>
      <c r="AC323" s="1348"/>
      <c r="AD323" s="1350"/>
      <c r="AE323" s="1350"/>
      <c r="AF323" s="1350"/>
      <c r="AG323" s="1352"/>
      <c r="AH323" s="1354"/>
      <c r="AI323" s="1356"/>
      <c r="AJ323" s="1358"/>
      <c r="AK323" s="1342"/>
      <c r="AL323" s="1346"/>
      <c r="AM323" s="1332"/>
      <c r="AN323" s="1338"/>
      <c r="AO323" s="1334"/>
      <c r="AP323" s="1334"/>
      <c r="AQ323" s="1336"/>
      <c r="AR323" s="1316"/>
      <c r="AS323" s="1302"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4"/>
      <c r="AU323" s="1303"/>
      <c r="AV323" s="1304" t="str">
        <f>IF('別紙様式2-2（４・５月分）'!N246="","",'別紙様式2-2（４・５月分）'!N246)</f>
        <v/>
      </c>
      <c r="AW323" s="1305"/>
      <c r="AX323" s="1306"/>
      <c r="AY323" s="1222"/>
      <c r="AZ323" s="1222"/>
      <c r="BA323" s="1222"/>
      <c r="BB323" s="1222"/>
      <c r="BC323" s="1222"/>
      <c r="BD323" s="1222"/>
      <c r="BE323" s="1222"/>
      <c r="BF323" s="1222"/>
      <c r="BG323" s="1222"/>
      <c r="BH323" s="1324"/>
      <c r="BI323" s="1326"/>
      <c r="BJ323" s="1303"/>
      <c r="BK323" s="452" t="str">
        <f>G322</f>
        <v/>
      </c>
    </row>
    <row r="324" spans="1:63" ht="15" customHeight="1">
      <c r="A324" s="1295"/>
      <c r="B324" s="1235"/>
      <c r="C324" s="1236"/>
      <c r="D324" s="1236"/>
      <c r="E324" s="1236"/>
      <c r="F324" s="1237"/>
      <c r="G324" s="1252"/>
      <c r="H324" s="1252"/>
      <c r="I324" s="1252"/>
      <c r="J324" s="1415"/>
      <c r="K324" s="1252"/>
      <c r="L324" s="1276"/>
      <c r="M324" s="1372"/>
      <c r="N324" s="1393"/>
      <c r="O324" s="1373" t="s">
        <v>2025</v>
      </c>
      <c r="P324" s="1375" t="str">
        <f>IFERROR(VLOOKUP('別紙様式2-2（４・５月分）'!AQ245,【参考】数式用!$AR$5:$AT$22,3,FALSE),"")</f>
        <v/>
      </c>
      <c r="Q324" s="1377" t="s">
        <v>2036</v>
      </c>
      <c r="R324" s="1379" t="str">
        <f>IFERROR(VLOOKUP(K322,【参考】数式用!$A$5:$AB$37,MATCH(P324,【参考】数式用!$B$4:$AB$4,0)+1,0),"")</f>
        <v/>
      </c>
      <c r="S324" s="1381" t="s">
        <v>161</v>
      </c>
      <c r="T324" s="1383"/>
      <c r="U324" s="1385" t="str">
        <f>IFERROR(VLOOKUP(K322,【参考】数式用!$A$5:$AB$37,MATCH(T324,【参考】数式用!$B$4:$AB$4,0)+1,0),"")</f>
        <v/>
      </c>
      <c r="V324" s="1387" t="s">
        <v>15</v>
      </c>
      <c r="W324" s="1389">
        <v>7</v>
      </c>
      <c r="X324" s="1363" t="s">
        <v>10</v>
      </c>
      <c r="Y324" s="1389">
        <v>4</v>
      </c>
      <c r="Z324" s="1363" t="s">
        <v>38</v>
      </c>
      <c r="AA324" s="1389">
        <v>8</v>
      </c>
      <c r="AB324" s="1363" t="s">
        <v>10</v>
      </c>
      <c r="AC324" s="1389">
        <v>3</v>
      </c>
      <c r="AD324" s="1363" t="s">
        <v>13</v>
      </c>
      <c r="AE324" s="1363" t="s">
        <v>20</v>
      </c>
      <c r="AF324" s="1363">
        <f>IF(W324&gt;=1,(AA324*12+AC324)-(W324*12+Y324)+1,"")</f>
        <v>12</v>
      </c>
      <c r="AG324" s="1359" t="s">
        <v>33</v>
      </c>
      <c r="AH324" s="1365" t="str">
        <f t="shared" ref="AH324" si="849">IFERROR(ROUNDDOWN(ROUND(L322*U324,0),0)*AF324,"")</f>
        <v/>
      </c>
      <c r="AI324" s="1367" t="str">
        <f t="shared" ref="AI324" si="850">IFERROR(ROUNDDOWN(ROUND((L322*(U324-AW322)),0),0)*AF324,"")</f>
        <v/>
      </c>
      <c r="AJ324" s="1369">
        <f>IFERROR(IF(OR(M322="",M323="",M325=""),0,ROUNDDOWN(ROUNDDOWN(ROUND(L322*VLOOKUP(K322,【参考】数式用!$A$5:$AB$37,MATCH("新加算Ⅳ",【参考】数式用!$B$4:$AB$4,0)+1,0),0),0)*AF324*0.5,0)),"")</f>
        <v>0</v>
      </c>
      <c r="AK324" s="1339" t="str">
        <f t="shared" ref="AK324" si="851">IF(T324&lt;&gt;"","新規に適用","")</f>
        <v/>
      </c>
      <c r="AL324" s="1343">
        <f>IFERROR(IF(OR(M325="ベア加算",M325=""),0, IF(OR(T322="新加算Ⅰ",T322="新加算Ⅱ",T322="新加算Ⅲ",T322="新加算Ⅳ"),0,ROUNDDOWN(ROUND(L322*VLOOKUP(K322,【参考】数式用!$A$5:$I$37,MATCH("ベア加算",【参考】数式用!$B$4:$I$4,0)+1,0),0),0)*AF324)),"")</f>
        <v>0</v>
      </c>
      <c r="AM324" s="1313" t="str">
        <f>IF(AND(T324&lt;&gt;"",AM322=""),"新規に適用",IF(AND(T324&lt;&gt;"",AM322&lt;&gt;""),"継続で適用",""))</f>
        <v/>
      </c>
      <c r="AN324" s="1313" t="str">
        <f>IF(AND(T324&lt;&gt;"",AN322=""),"新規に適用",IF(AND(T324&lt;&gt;"",AN322&lt;&gt;""),"継続で適用",""))</f>
        <v/>
      </c>
      <c r="AO324" s="1361"/>
      <c r="AP324" s="1313" t="str">
        <f>IF(AND(T324&lt;&gt;"",AP322=""),"新規に適用",IF(AND(T324&lt;&gt;"",AP322&lt;&gt;""),"継続で適用",""))</f>
        <v/>
      </c>
      <c r="AQ324" s="1317" t="str">
        <f t="shared" si="774"/>
        <v/>
      </c>
      <c r="AR324" s="1313" t="str">
        <f>IF(AND(T324&lt;&gt;"",AR322=""),"新規に適用",IF(AND(T324&lt;&gt;"",AR322&lt;&gt;""),"継続で適用",""))</f>
        <v/>
      </c>
      <c r="AS324" s="1302"/>
      <c r="AT324" s="554"/>
      <c r="AU324" s="1303" t="str">
        <f>IF(K322&lt;&gt;"","V列に色付け","")</f>
        <v/>
      </c>
      <c r="AV324" s="1304"/>
      <c r="AW324" s="1305"/>
      <c r="AX324"/>
      <c r="AY324"/>
      <c r="AZ324"/>
      <c r="BA324"/>
      <c r="BB324"/>
      <c r="BC324"/>
      <c r="BD324"/>
      <c r="BE324"/>
      <c r="BF324"/>
      <c r="BG324"/>
      <c r="BH324"/>
      <c r="BI324"/>
      <c r="BJ324"/>
      <c r="BK324" s="452" t="str">
        <f>G322</f>
        <v/>
      </c>
    </row>
    <row r="325" spans="1:63" ht="30" customHeight="1" thickBot="1">
      <c r="A325" s="1268"/>
      <c r="B325" s="1411"/>
      <c r="C325" s="1412"/>
      <c r="D325" s="1412"/>
      <c r="E325" s="1412"/>
      <c r="F325" s="1413"/>
      <c r="G325" s="1253"/>
      <c r="H325" s="1253"/>
      <c r="I325" s="1253"/>
      <c r="J325" s="1416"/>
      <c r="K325" s="1253"/>
      <c r="L325" s="1277"/>
      <c r="M325" s="553" t="str">
        <f>IF('別紙様式2-2（４・５月分）'!P247="","",'別紙様式2-2（４・５月分）'!P247)</f>
        <v/>
      </c>
      <c r="N325" s="1394"/>
      <c r="O325" s="1374"/>
      <c r="P325" s="1376"/>
      <c r="Q325" s="1378"/>
      <c r="R325" s="1380"/>
      <c r="S325" s="1382"/>
      <c r="T325" s="1384"/>
      <c r="U325" s="1386"/>
      <c r="V325" s="1388"/>
      <c r="W325" s="1390"/>
      <c r="X325" s="1364"/>
      <c r="Y325" s="1390"/>
      <c r="Z325" s="1364"/>
      <c r="AA325" s="1390"/>
      <c r="AB325" s="1364"/>
      <c r="AC325" s="1390"/>
      <c r="AD325" s="1364"/>
      <c r="AE325" s="1364"/>
      <c r="AF325" s="1364"/>
      <c r="AG325" s="1360"/>
      <c r="AH325" s="1366"/>
      <c r="AI325" s="1368"/>
      <c r="AJ325" s="1370"/>
      <c r="AK325" s="1340"/>
      <c r="AL325" s="1344"/>
      <c r="AM325" s="1314"/>
      <c r="AN325" s="1314"/>
      <c r="AO325" s="1362"/>
      <c r="AP325" s="1314"/>
      <c r="AQ325" s="1318"/>
      <c r="AR325" s="1314"/>
      <c r="AS325" s="490"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4"/>
      <c r="AU325" s="1303"/>
      <c r="AV325" s="555" t="str">
        <f>IF('別紙様式2-2（４・５月分）'!N247="","",'別紙様式2-2（４・５月分）'!N247)</f>
        <v/>
      </c>
      <c r="AW325" s="1305"/>
      <c r="AX325"/>
      <c r="AY325"/>
      <c r="AZ325"/>
      <c r="BA325"/>
      <c r="BB325"/>
      <c r="BC325"/>
      <c r="BD325"/>
      <c r="BE325"/>
      <c r="BF325"/>
      <c r="BG325"/>
      <c r="BH325"/>
      <c r="BI325"/>
      <c r="BJ325"/>
      <c r="BK325" s="452" t="str">
        <f>G322</f>
        <v/>
      </c>
    </row>
    <row r="326" spans="1:63" ht="30" customHeight="1">
      <c r="A326" s="1266">
        <v>79</v>
      </c>
      <c r="B326" s="1232" t="str">
        <f>IF(基本情報入力シート!C132="","",基本情報入力シート!C132)</f>
        <v/>
      </c>
      <c r="C326" s="1233"/>
      <c r="D326" s="1233"/>
      <c r="E326" s="1233"/>
      <c r="F326" s="1234"/>
      <c r="G326" s="1251" t="str">
        <f>IF(基本情報入力シート!M132="","",基本情報入力シート!M132)</f>
        <v/>
      </c>
      <c r="H326" s="1251" t="str">
        <f>IF(基本情報入力シート!R132="","",基本情報入力シート!R132)</f>
        <v/>
      </c>
      <c r="I326" s="1251" t="str">
        <f>IF(基本情報入力シート!W132="","",基本情報入力シート!W132)</f>
        <v/>
      </c>
      <c r="J326" s="1414" t="str">
        <f>IF(基本情報入力シート!X132="","",基本情報入力シート!X132)</f>
        <v/>
      </c>
      <c r="K326" s="1251" t="str">
        <f>IF(基本情報入力シート!Y132="","",基本情報入力シート!Y132)</f>
        <v/>
      </c>
      <c r="L326" s="1275" t="str">
        <f>IF(基本情報入力シート!AB132="","",基本情報入力シート!AB132)</f>
        <v/>
      </c>
      <c r="M326" s="550" t="str">
        <f>IF('別紙様式2-2（４・５月分）'!P248="","",'別紙様式2-2（４・５月分）'!P248)</f>
        <v/>
      </c>
      <c r="N326" s="1391" t="str">
        <f>IF(SUM('別紙様式2-2（４・５月分）'!Q248:Q250)=0,"",SUM('別紙様式2-2（４・５月分）'!Q248:Q250))</f>
        <v/>
      </c>
      <c r="O326" s="1395" t="str">
        <f>IFERROR(VLOOKUP('別紙様式2-2（４・５月分）'!AQ248,【参考】数式用!$AR$5:$AS$22,2,FALSE),"")</f>
        <v/>
      </c>
      <c r="P326" s="1396"/>
      <c r="Q326" s="1397"/>
      <c r="R326" s="1401" t="str">
        <f>IFERROR(VLOOKUP(K326,【参考】数式用!$A$5:$AB$37,MATCH(O326,【参考】数式用!$B$4:$AB$4,0)+1,0),"")</f>
        <v/>
      </c>
      <c r="S326" s="1403" t="s">
        <v>2021</v>
      </c>
      <c r="T326" s="1405"/>
      <c r="U326" s="1407" t="str">
        <f>IFERROR(VLOOKUP(K326,【参考】数式用!$A$5:$AB$37,MATCH(T326,【参考】数式用!$B$4:$AB$4,0)+1,0),"")</f>
        <v/>
      </c>
      <c r="V326" s="1409" t="s">
        <v>15</v>
      </c>
      <c r="W326" s="1347">
        <v>6</v>
      </c>
      <c r="X326" s="1349" t="s">
        <v>10</v>
      </c>
      <c r="Y326" s="1347">
        <v>6</v>
      </c>
      <c r="Z326" s="1349" t="s">
        <v>38</v>
      </c>
      <c r="AA326" s="1347">
        <v>7</v>
      </c>
      <c r="AB326" s="1349" t="s">
        <v>10</v>
      </c>
      <c r="AC326" s="1347">
        <v>3</v>
      </c>
      <c r="AD326" s="1349" t="s">
        <v>13</v>
      </c>
      <c r="AE326" s="1349" t="s">
        <v>20</v>
      </c>
      <c r="AF326" s="1349">
        <f>IF(W326&gt;=1,(AA326*12+AC326)-(W326*12+Y326)+1,"")</f>
        <v>10</v>
      </c>
      <c r="AG326" s="1351" t="s">
        <v>33</v>
      </c>
      <c r="AH326" s="1353" t="str">
        <f t="shared" ref="AH326" si="853">IFERROR(ROUNDDOWN(ROUND(L326*U326,0),0)*AF326,"")</f>
        <v/>
      </c>
      <c r="AI326" s="1355" t="str">
        <f t="shared" ref="AI326" si="854">IFERROR(ROUNDDOWN(ROUND((L326*(U326-AW326)),0),0)*AF326,"")</f>
        <v/>
      </c>
      <c r="AJ326" s="1357">
        <f>IFERROR(IF(OR(M326="",M327="",M329=""),0,ROUNDDOWN(ROUNDDOWN(ROUND(L326*VLOOKUP(K326,【参考】数式用!$A$5:$AB$37,MATCH("新加算Ⅳ",【参考】数式用!$B$4:$AB$4,0)+1,0),0),0)*AF326*0.5,0)),"")</f>
        <v>0</v>
      </c>
      <c r="AK326" s="1341"/>
      <c r="AL326" s="1345">
        <f>IFERROR(IF(OR(M329="ベア加算",M329=""),0, IF(OR(T326="新加算Ⅰ",T326="新加算Ⅱ",T326="新加算Ⅲ",T326="新加算Ⅳ"),ROUNDDOWN(ROUND(L326*VLOOKUP(K326,【参考】数式用!$A$5:$I$37,MATCH("ベア加算",【参考】数式用!$B$4:$I$4,0)+1,0),0),0)*AF326,0)),"")</f>
        <v>0</v>
      </c>
      <c r="AM326" s="1331"/>
      <c r="AN326" s="1337"/>
      <c r="AO326" s="1333"/>
      <c r="AP326" s="1333"/>
      <c r="AQ326" s="1335"/>
      <c r="AR326" s="1315"/>
      <c r="AS326" s="465" t="str">
        <f t="shared" ref="AS326" si="855">IF(AU326="","",IF(U326&lt;N326,"！加算の要件上は問題ありませんが、令和６年４・５月と比較して令和６年６月に加算率が下がる計画になっています。",""))</f>
        <v/>
      </c>
      <c r="AT326" s="554"/>
      <c r="AU326" s="1303" t="str">
        <f>IF(K326&lt;&gt;"","V列に色付け","")</f>
        <v/>
      </c>
      <c r="AV326" s="555" t="str">
        <f>IF('別紙様式2-2（４・５月分）'!N248="","",'別紙様式2-2（４・５月分）'!N248)</f>
        <v/>
      </c>
      <c r="AW326" s="1305" t="str">
        <f>IF(SUM('別紙様式2-2（４・５月分）'!O248:O250)=0,"",SUM('別紙様式2-2（４・５月分）'!O248:O250))</f>
        <v/>
      </c>
      <c r="AX326" s="1306" t="str">
        <f>IFERROR(VLOOKUP(K326,【参考】数式用!$AH$2:$AI$34,2,FALSE),"")</f>
        <v/>
      </c>
      <c r="AY326" s="1222" t="s">
        <v>1959</v>
      </c>
      <c r="AZ326" s="1222" t="s">
        <v>1960</v>
      </c>
      <c r="BA326" s="1222" t="s">
        <v>1961</v>
      </c>
      <c r="BB326" s="1222" t="s">
        <v>1962</v>
      </c>
      <c r="BC326" s="1222" t="str">
        <f>IF(AND(O326&lt;&gt;"新加算Ⅰ",O326&lt;&gt;"新加算Ⅱ",O326&lt;&gt;"新加算Ⅲ",O326&lt;&gt;"新加算Ⅳ"),O326,IF(P328&lt;&gt;"",P328,""))</f>
        <v/>
      </c>
      <c r="BD326" s="1222"/>
      <c r="BE326" s="1222" t="str">
        <f t="shared" ref="BE326" si="856">IF(AL326&lt;&gt;0,IF(AM326="○","入力済","未入力"),"")</f>
        <v/>
      </c>
      <c r="BF326" s="1222"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2" t="str">
        <f>IF(OR(T326="新加算Ⅴ（７）",T326="新加算Ⅴ（９）",T326="新加算Ⅴ（10）",T326="新加算Ⅴ（12）",T326="新加算Ⅴ（13）",T326="新加算Ⅴ（14）"),IF(OR(AO326="○",AO326="令和６年度中に満たす"),"入力済","未入力"),"")</f>
        <v/>
      </c>
      <c r="BH326" s="1323" t="str">
        <f t="shared" ref="BH326" si="857">IF(OR(T326="新加算Ⅰ",T326="新加算Ⅱ",T326="新加算Ⅲ",T326="新加算Ⅴ（１）",T326="新加算Ⅴ（３）",T326="新加算Ⅴ（８）"),IF(OR(AP326="○",AP326="令和６年度中に満たす"),"入力済","未入力"),"")</f>
        <v/>
      </c>
      <c r="BI326" s="1325" t="str">
        <f t="shared" ref="BI326" si="858">IF(OR(T326="新加算Ⅰ",T326="新加算Ⅱ",T326="新加算Ⅴ（１）",T326="新加算Ⅴ（２）",T326="新加算Ⅴ（３）",T326="新加算Ⅴ（４）",T326="新加算Ⅴ（５）",T326="新加算Ⅴ（６）",T326="新加算Ⅴ（７）",T326="新加算Ⅴ（９）",T326="新加算Ⅴ（10）",T326="新加算Ⅴ（12）"),1,"")</f>
        <v/>
      </c>
      <c r="BJ326" s="1303" t="str">
        <f>IF(OR(T326="新加算Ⅰ",T326="新加算Ⅴ（１）",T326="新加算Ⅴ（２）",T326="新加算Ⅴ（５）",T326="新加算Ⅴ（７）",T326="新加算Ⅴ（10）"),IF(AR326="","未入力","入力済"),"")</f>
        <v/>
      </c>
      <c r="BK326" s="452" t="str">
        <f>G326</f>
        <v/>
      </c>
    </row>
    <row r="327" spans="1:63" ht="15" customHeight="1">
      <c r="A327" s="1267"/>
      <c r="B327" s="1235"/>
      <c r="C327" s="1236"/>
      <c r="D327" s="1236"/>
      <c r="E327" s="1236"/>
      <c r="F327" s="1237"/>
      <c r="G327" s="1252"/>
      <c r="H327" s="1252"/>
      <c r="I327" s="1252"/>
      <c r="J327" s="1415"/>
      <c r="K327" s="1252"/>
      <c r="L327" s="1276"/>
      <c r="M327" s="1371" t="str">
        <f>IF('別紙様式2-2（４・５月分）'!P249="","",'別紙様式2-2（４・５月分）'!P249)</f>
        <v/>
      </c>
      <c r="N327" s="1392"/>
      <c r="O327" s="1398"/>
      <c r="P327" s="1399"/>
      <c r="Q327" s="1400"/>
      <c r="R327" s="1402"/>
      <c r="S327" s="1404"/>
      <c r="T327" s="1406"/>
      <c r="U327" s="1408"/>
      <c r="V327" s="1410"/>
      <c r="W327" s="1348"/>
      <c r="X327" s="1350"/>
      <c r="Y327" s="1348"/>
      <c r="Z327" s="1350"/>
      <c r="AA327" s="1348"/>
      <c r="AB327" s="1350"/>
      <c r="AC327" s="1348"/>
      <c r="AD327" s="1350"/>
      <c r="AE327" s="1350"/>
      <c r="AF327" s="1350"/>
      <c r="AG327" s="1352"/>
      <c r="AH327" s="1354"/>
      <c r="AI327" s="1356"/>
      <c r="AJ327" s="1358"/>
      <c r="AK327" s="1342"/>
      <c r="AL327" s="1346"/>
      <c r="AM327" s="1332"/>
      <c r="AN327" s="1338"/>
      <c r="AO327" s="1334"/>
      <c r="AP327" s="1334"/>
      <c r="AQ327" s="1336"/>
      <c r="AR327" s="1316"/>
      <c r="AS327" s="1302"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4"/>
      <c r="AU327" s="1303"/>
      <c r="AV327" s="1304" t="str">
        <f>IF('別紙様式2-2（４・５月分）'!N249="","",'別紙様式2-2（４・５月分）'!N249)</f>
        <v/>
      </c>
      <c r="AW327" s="1305"/>
      <c r="AX327" s="1306"/>
      <c r="AY327" s="1222"/>
      <c r="AZ327" s="1222"/>
      <c r="BA327" s="1222"/>
      <c r="BB327" s="1222"/>
      <c r="BC327" s="1222"/>
      <c r="BD327" s="1222"/>
      <c r="BE327" s="1222"/>
      <c r="BF327" s="1222"/>
      <c r="BG327" s="1222"/>
      <c r="BH327" s="1324"/>
      <c r="BI327" s="1326"/>
      <c r="BJ327" s="1303"/>
      <c r="BK327" s="452" t="str">
        <f>G326</f>
        <v/>
      </c>
    </row>
    <row r="328" spans="1:63" ht="15" customHeight="1">
      <c r="A328" s="1295"/>
      <c r="B328" s="1235"/>
      <c r="C328" s="1236"/>
      <c r="D328" s="1236"/>
      <c r="E328" s="1236"/>
      <c r="F328" s="1237"/>
      <c r="G328" s="1252"/>
      <c r="H328" s="1252"/>
      <c r="I328" s="1252"/>
      <c r="J328" s="1415"/>
      <c r="K328" s="1252"/>
      <c r="L328" s="1276"/>
      <c r="M328" s="1372"/>
      <c r="N328" s="1393"/>
      <c r="O328" s="1373" t="s">
        <v>2025</v>
      </c>
      <c r="P328" s="1375" t="str">
        <f>IFERROR(VLOOKUP('別紙様式2-2（４・５月分）'!AQ248,【参考】数式用!$AR$5:$AT$22,3,FALSE),"")</f>
        <v/>
      </c>
      <c r="Q328" s="1377" t="s">
        <v>2036</v>
      </c>
      <c r="R328" s="1379" t="str">
        <f>IFERROR(VLOOKUP(K326,【参考】数式用!$A$5:$AB$37,MATCH(P328,【参考】数式用!$B$4:$AB$4,0)+1,0),"")</f>
        <v/>
      </c>
      <c r="S328" s="1381" t="s">
        <v>161</v>
      </c>
      <c r="T328" s="1383"/>
      <c r="U328" s="1385" t="str">
        <f>IFERROR(VLOOKUP(K326,【参考】数式用!$A$5:$AB$37,MATCH(T328,【参考】数式用!$B$4:$AB$4,0)+1,0),"")</f>
        <v/>
      </c>
      <c r="V328" s="1387" t="s">
        <v>15</v>
      </c>
      <c r="W328" s="1389">
        <v>7</v>
      </c>
      <c r="X328" s="1363" t="s">
        <v>10</v>
      </c>
      <c r="Y328" s="1389">
        <v>4</v>
      </c>
      <c r="Z328" s="1363" t="s">
        <v>38</v>
      </c>
      <c r="AA328" s="1389">
        <v>8</v>
      </c>
      <c r="AB328" s="1363" t="s">
        <v>10</v>
      </c>
      <c r="AC328" s="1389">
        <v>3</v>
      </c>
      <c r="AD328" s="1363" t="s">
        <v>13</v>
      </c>
      <c r="AE328" s="1363" t="s">
        <v>20</v>
      </c>
      <c r="AF328" s="1363">
        <f>IF(W328&gt;=1,(AA328*12+AC328)-(W328*12+Y328)+1,"")</f>
        <v>12</v>
      </c>
      <c r="AG328" s="1359" t="s">
        <v>33</v>
      </c>
      <c r="AH328" s="1365" t="str">
        <f t="shared" ref="AH328" si="860">IFERROR(ROUNDDOWN(ROUND(L326*U328,0),0)*AF328,"")</f>
        <v/>
      </c>
      <c r="AI328" s="1367" t="str">
        <f t="shared" ref="AI328" si="861">IFERROR(ROUNDDOWN(ROUND((L326*(U328-AW326)),0),0)*AF328,"")</f>
        <v/>
      </c>
      <c r="AJ328" s="1369">
        <f>IFERROR(IF(OR(M326="",M327="",M329=""),0,ROUNDDOWN(ROUNDDOWN(ROUND(L326*VLOOKUP(K326,【参考】数式用!$A$5:$AB$37,MATCH("新加算Ⅳ",【参考】数式用!$B$4:$AB$4,0)+1,0),0),0)*AF328*0.5,0)),"")</f>
        <v>0</v>
      </c>
      <c r="AK328" s="1339" t="str">
        <f t="shared" ref="AK328" si="862">IF(T328&lt;&gt;"","新規に適用","")</f>
        <v/>
      </c>
      <c r="AL328" s="1343">
        <f>IFERROR(IF(OR(M329="ベア加算",M329=""),0, IF(OR(T326="新加算Ⅰ",T326="新加算Ⅱ",T326="新加算Ⅲ",T326="新加算Ⅳ"),0,ROUNDDOWN(ROUND(L326*VLOOKUP(K326,【参考】数式用!$A$5:$I$37,MATCH("ベア加算",【参考】数式用!$B$4:$I$4,0)+1,0),0),0)*AF328)),"")</f>
        <v>0</v>
      </c>
      <c r="AM328" s="1313" t="str">
        <f>IF(AND(T328&lt;&gt;"",AM326=""),"新規に適用",IF(AND(T328&lt;&gt;"",AM326&lt;&gt;""),"継続で適用",""))</f>
        <v/>
      </c>
      <c r="AN328" s="1313" t="str">
        <f>IF(AND(T328&lt;&gt;"",AN326=""),"新規に適用",IF(AND(T328&lt;&gt;"",AN326&lt;&gt;""),"継続で適用",""))</f>
        <v/>
      </c>
      <c r="AO328" s="1361"/>
      <c r="AP328" s="1313" t="str">
        <f>IF(AND(T328&lt;&gt;"",AP326=""),"新規に適用",IF(AND(T328&lt;&gt;"",AP326&lt;&gt;""),"継続で適用",""))</f>
        <v/>
      </c>
      <c r="AQ328" s="1317" t="str">
        <f t="shared" si="774"/>
        <v/>
      </c>
      <c r="AR328" s="1313" t="str">
        <f>IF(AND(T328&lt;&gt;"",AR326=""),"新規に適用",IF(AND(T328&lt;&gt;"",AR326&lt;&gt;""),"継続で適用",""))</f>
        <v/>
      </c>
      <c r="AS328" s="1302"/>
      <c r="AT328" s="554"/>
      <c r="AU328" s="1303" t="str">
        <f>IF(K326&lt;&gt;"","V列に色付け","")</f>
        <v/>
      </c>
      <c r="AV328" s="1304"/>
      <c r="AW328" s="1305"/>
      <c r="AX328"/>
      <c r="AY328"/>
      <c r="AZ328"/>
      <c r="BA328"/>
      <c r="BB328"/>
      <c r="BC328"/>
      <c r="BD328"/>
      <c r="BE328"/>
      <c r="BF328"/>
      <c r="BG328"/>
      <c r="BH328"/>
      <c r="BI328"/>
      <c r="BJ328"/>
      <c r="BK328" s="452" t="str">
        <f>G326</f>
        <v/>
      </c>
    </row>
    <row r="329" spans="1:63" ht="30" customHeight="1" thickBot="1">
      <c r="A329" s="1268"/>
      <c r="B329" s="1411"/>
      <c r="C329" s="1412"/>
      <c r="D329" s="1412"/>
      <c r="E329" s="1412"/>
      <c r="F329" s="1413"/>
      <c r="G329" s="1253"/>
      <c r="H329" s="1253"/>
      <c r="I329" s="1253"/>
      <c r="J329" s="1416"/>
      <c r="K329" s="1253"/>
      <c r="L329" s="1277"/>
      <c r="M329" s="553" t="str">
        <f>IF('別紙様式2-2（４・５月分）'!P250="","",'別紙様式2-2（４・５月分）'!P250)</f>
        <v/>
      </c>
      <c r="N329" s="1394"/>
      <c r="O329" s="1374"/>
      <c r="P329" s="1376"/>
      <c r="Q329" s="1378"/>
      <c r="R329" s="1380"/>
      <c r="S329" s="1382"/>
      <c r="T329" s="1384"/>
      <c r="U329" s="1386"/>
      <c r="V329" s="1388"/>
      <c r="W329" s="1390"/>
      <c r="X329" s="1364"/>
      <c r="Y329" s="1390"/>
      <c r="Z329" s="1364"/>
      <c r="AA329" s="1390"/>
      <c r="AB329" s="1364"/>
      <c r="AC329" s="1390"/>
      <c r="AD329" s="1364"/>
      <c r="AE329" s="1364"/>
      <c r="AF329" s="1364"/>
      <c r="AG329" s="1360"/>
      <c r="AH329" s="1366"/>
      <c r="AI329" s="1368"/>
      <c r="AJ329" s="1370"/>
      <c r="AK329" s="1340"/>
      <c r="AL329" s="1344"/>
      <c r="AM329" s="1314"/>
      <c r="AN329" s="1314"/>
      <c r="AO329" s="1362"/>
      <c r="AP329" s="1314"/>
      <c r="AQ329" s="1318"/>
      <c r="AR329" s="1314"/>
      <c r="AS329" s="490"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4"/>
      <c r="AU329" s="1303"/>
      <c r="AV329" s="555" t="str">
        <f>IF('別紙様式2-2（４・５月分）'!N250="","",'別紙様式2-2（４・５月分）'!N250)</f>
        <v/>
      </c>
      <c r="AW329" s="1305"/>
      <c r="AX329"/>
      <c r="AY329"/>
      <c r="AZ329"/>
      <c r="BA329"/>
      <c r="BB329"/>
      <c r="BC329"/>
      <c r="BD329"/>
      <c r="BE329"/>
      <c r="BF329"/>
      <c r="BG329"/>
      <c r="BH329"/>
      <c r="BI329"/>
      <c r="BJ329"/>
      <c r="BK329" s="452" t="str">
        <f>G326</f>
        <v/>
      </c>
    </row>
    <row r="330" spans="1:63" ht="30" customHeight="1">
      <c r="A330" s="1293">
        <v>80</v>
      </c>
      <c r="B330" s="1235" t="str">
        <f>IF(基本情報入力シート!C133="","",基本情報入力シート!C133)</f>
        <v/>
      </c>
      <c r="C330" s="1236"/>
      <c r="D330" s="1236"/>
      <c r="E330" s="1236"/>
      <c r="F330" s="1237"/>
      <c r="G330" s="1252" t="str">
        <f>IF(基本情報入力シート!M133="","",基本情報入力シート!M133)</f>
        <v/>
      </c>
      <c r="H330" s="1252" t="str">
        <f>IF(基本情報入力シート!R133="","",基本情報入力シート!R133)</f>
        <v/>
      </c>
      <c r="I330" s="1252" t="str">
        <f>IF(基本情報入力シート!W133="","",基本情報入力シート!W133)</f>
        <v/>
      </c>
      <c r="J330" s="1415" t="str">
        <f>IF(基本情報入力シート!X133="","",基本情報入力シート!X133)</f>
        <v/>
      </c>
      <c r="K330" s="1252" t="str">
        <f>IF(基本情報入力シート!Y133="","",基本情報入力シート!Y133)</f>
        <v/>
      </c>
      <c r="L330" s="1276" t="str">
        <f>IF(基本情報入力シート!AB133="","",基本情報入力シート!AB133)</f>
        <v/>
      </c>
      <c r="M330" s="550" t="str">
        <f>IF('別紙様式2-2（４・５月分）'!P251="","",'別紙様式2-2（４・５月分）'!P251)</f>
        <v/>
      </c>
      <c r="N330" s="1391" t="str">
        <f>IF(SUM('別紙様式2-2（４・５月分）'!Q251:Q253)=0,"",SUM('別紙様式2-2（４・５月分）'!Q251:Q253))</f>
        <v/>
      </c>
      <c r="O330" s="1395" t="str">
        <f>IFERROR(VLOOKUP('別紙様式2-2（４・５月分）'!AQ251,【参考】数式用!$AR$5:$AS$22,2,FALSE),"")</f>
        <v/>
      </c>
      <c r="P330" s="1396"/>
      <c r="Q330" s="1397"/>
      <c r="R330" s="1401" t="str">
        <f>IFERROR(VLOOKUP(K330,【参考】数式用!$A$5:$AB$37,MATCH(O330,【参考】数式用!$B$4:$AB$4,0)+1,0),"")</f>
        <v/>
      </c>
      <c r="S330" s="1403" t="s">
        <v>2021</v>
      </c>
      <c r="T330" s="1405"/>
      <c r="U330" s="1407" t="str">
        <f>IFERROR(VLOOKUP(K330,【参考】数式用!$A$5:$AB$37,MATCH(T330,【参考】数式用!$B$4:$AB$4,0)+1,0),"")</f>
        <v/>
      </c>
      <c r="V330" s="1409" t="s">
        <v>15</v>
      </c>
      <c r="W330" s="1347">
        <v>6</v>
      </c>
      <c r="X330" s="1349" t="s">
        <v>10</v>
      </c>
      <c r="Y330" s="1347">
        <v>6</v>
      </c>
      <c r="Z330" s="1349" t="s">
        <v>38</v>
      </c>
      <c r="AA330" s="1347">
        <v>7</v>
      </c>
      <c r="AB330" s="1349" t="s">
        <v>10</v>
      </c>
      <c r="AC330" s="1347">
        <v>3</v>
      </c>
      <c r="AD330" s="1349" t="s">
        <v>13</v>
      </c>
      <c r="AE330" s="1349" t="s">
        <v>20</v>
      </c>
      <c r="AF330" s="1349">
        <f>IF(W330&gt;=1,(AA330*12+AC330)-(W330*12+Y330)+1,"")</f>
        <v>10</v>
      </c>
      <c r="AG330" s="1351" t="s">
        <v>33</v>
      </c>
      <c r="AH330" s="1353" t="str">
        <f t="shared" ref="AH330" si="864">IFERROR(ROUNDDOWN(ROUND(L330*U330,0),0)*AF330,"")</f>
        <v/>
      </c>
      <c r="AI330" s="1355" t="str">
        <f t="shared" ref="AI330" si="865">IFERROR(ROUNDDOWN(ROUND((L330*(U330-AW330)),0),0)*AF330,"")</f>
        <v/>
      </c>
      <c r="AJ330" s="1357">
        <f>IFERROR(IF(OR(M330="",M331="",M333=""),0,ROUNDDOWN(ROUNDDOWN(ROUND(L330*VLOOKUP(K330,【参考】数式用!$A$5:$AB$37,MATCH("新加算Ⅳ",【参考】数式用!$B$4:$AB$4,0)+1,0),0),0)*AF330*0.5,0)),"")</f>
        <v>0</v>
      </c>
      <c r="AK330" s="1341"/>
      <c r="AL330" s="1345">
        <f>IFERROR(IF(OR(M333="ベア加算",M333=""),0, IF(OR(T330="新加算Ⅰ",T330="新加算Ⅱ",T330="新加算Ⅲ",T330="新加算Ⅳ"),ROUNDDOWN(ROUND(L330*VLOOKUP(K330,【参考】数式用!$A$5:$I$37,MATCH("ベア加算",【参考】数式用!$B$4:$I$4,0)+1,0),0),0)*AF330,0)),"")</f>
        <v>0</v>
      </c>
      <c r="AM330" s="1331"/>
      <c r="AN330" s="1337"/>
      <c r="AO330" s="1333"/>
      <c r="AP330" s="1333"/>
      <c r="AQ330" s="1335"/>
      <c r="AR330" s="1315"/>
      <c r="AS330" s="465" t="str">
        <f t="shared" ref="AS330" si="866">IF(AU330="","",IF(U330&lt;N330,"！加算の要件上は問題ありませんが、令和６年４・５月と比較して令和６年６月に加算率が下がる計画になっています。",""))</f>
        <v/>
      </c>
      <c r="AT330" s="554"/>
      <c r="AU330" s="1303" t="str">
        <f>IF(K330&lt;&gt;"","V列に色付け","")</f>
        <v/>
      </c>
      <c r="AV330" s="555" t="str">
        <f>IF('別紙様式2-2（４・５月分）'!N251="","",'別紙様式2-2（４・５月分）'!N251)</f>
        <v/>
      </c>
      <c r="AW330" s="1305" t="str">
        <f>IF(SUM('別紙様式2-2（４・５月分）'!O251:O253)=0,"",SUM('別紙様式2-2（４・５月分）'!O251:O253))</f>
        <v/>
      </c>
      <c r="AX330" s="1306" t="str">
        <f>IFERROR(VLOOKUP(K330,【参考】数式用!$AH$2:$AI$34,2,FALSE),"")</f>
        <v/>
      </c>
      <c r="AY330" s="1222" t="s">
        <v>1959</v>
      </c>
      <c r="AZ330" s="1222" t="s">
        <v>1960</v>
      </c>
      <c r="BA330" s="1222" t="s">
        <v>1961</v>
      </c>
      <c r="BB330" s="1222" t="s">
        <v>1962</v>
      </c>
      <c r="BC330" s="1222" t="str">
        <f>IF(AND(O330&lt;&gt;"新加算Ⅰ",O330&lt;&gt;"新加算Ⅱ",O330&lt;&gt;"新加算Ⅲ",O330&lt;&gt;"新加算Ⅳ"),O330,IF(P332&lt;&gt;"",P332,""))</f>
        <v/>
      </c>
      <c r="BD330" s="1222"/>
      <c r="BE330" s="1222" t="str">
        <f t="shared" ref="BE330" si="867">IF(AL330&lt;&gt;0,IF(AM330="○","入力済","未入力"),"")</f>
        <v/>
      </c>
      <c r="BF330" s="1222"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2" t="str">
        <f>IF(OR(T330="新加算Ⅴ（７）",T330="新加算Ⅴ（９）",T330="新加算Ⅴ（10）",T330="新加算Ⅴ（12）",T330="新加算Ⅴ（13）",T330="新加算Ⅴ（14）"),IF(OR(AO330="○",AO330="令和６年度中に満たす"),"入力済","未入力"),"")</f>
        <v/>
      </c>
      <c r="BH330" s="1323" t="str">
        <f t="shared" ref="BH330" si="868">IF(OR(T330="新加算Ⅰ",T330="新加算Ⅱ",T330="新加算Ⅲ",T330="新加算Ⅴ（１）",T330="新加算Ⅴ（３）",T330="新加算Ⅴ（８）"),IF(OR(AP330="○",AP330="令和６年度中に満たす"),"入力済","未入力"),"")</f>
        <v/>
      </c>
      <c r="BI330" s="1325" t="str">
        <f t="shared" ref="BI330" si="869">IF(OR(T330="新加算Ⅰ",T330="新加算Ⅱ",T330="新加算Ⅴ（１）",T330="新加算Ⅴ（２）",T330="新加算Ⅴ（３）",T330="新加算Ⅴ（４）",T330="新加算Ⅴ（５）",T330="新加算Ⅴ（６）",T330="新加算Ⅴ（７）",T330="新加算Ⅴ（９）",T330="新加算Ⅴ（10）",T330="新加算Ⅴ（12）"),1,"")</f>
        <v/>
      </c>
      <c r="BJ330" s="1303" t="str">
        <f>IF(OR(T330="新加算Ⅰ",T330="新加算Ⅴ（１）",T330="新加算Ⅴ（２）",T330="新加算Ⅴ（５）",T330="新加算Ⅴ（７）",T330="新加算Ⅴ（10）"),IF(AR330="","未入力","入力済"),"")</f>
        <v/>
      </c>
      <c r="BK330" s="452" t="str">
        <f>G330</f>
        <v/>
      </c>
    </row>
    <row r="331" spans="1:63" ht="15" customHeight="1">
      <c r="A331" s="1267"/>
      <c r="B331" s="1235"/>
      <c r="C331" s="1236"/>
      <c r="D331" s="1236"/>
      <c r="E331" s="1236"/>
      <c r="F331" s="1237"/>
      <c r="G331" s="1252"/>
      <c r="H331" s="1252"/>
      <c r="I331" s="1252"/>
      <c r="J331" s="1415"/>
      <c r="K331" s="1252"/>
      <c r="L331" s="1276"/>
      <c r="M331" s="1371" t="str">
        <f>IF('別紙様式2-2（４・５月分）'!P252="","",'別紙様式2-2（４・５月分）'!P252)</f>
        <v/>
      </c>
      <c r="N331" s="1392"/>
      <c r="O331" s="1398"/>
      <c r="P331" s="1399"/>
      <c r="Q331" s="1400"/>
      <c r="R331" s="1402"/>
      <c r="S331" s="1404"/>
      <c r="T331" s="1406"/>
      <c r="U331" s="1408"/>
      <c r="V331" s="1410"/>
      <c r="W331" s="1348"/>
      <c r="X331" s="1350"/>
      <c r="Y331" s="1348"/>
      <c r="Z331" s="1350"/>
      <c r="AA331" s="1348"/>
      <c r="AB331" s="1350"/>
      <c r="AC331" s="1348"/>
      <c r="AD331" s="1350"/>
      <c r="AE331" s="1350"/>
      <c r="AF331" s="1350"/>
      <c r="AG331" s="1352"/>
      <c r="AH331" s="1354"/>
      <c r="AI331" s="1356"/>
      <c r="AJ331" s="1358"/>
      <c r="AK331" s="1342"/>
      <c r="AL331" s="1346"/>
      <c r="AM331" s="1332"/>
      <c r="AN331" s="1338"/>
      <c r="AO331" s="1334"/>
      <c r="AP331" s="1334"/>
      <c r="AQ331" s="1336"/>
      <c r="AR331" s="1316"/>
      <c r="AS331" s="1302"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4"/>
      <c r="AU331" s="1303"/>
      <c r="AV331" s="1304" t="str">
        <f>IF('別紙様式2-2（４・５月分）'!N252="","",'別紙様式2-2（４・５月分）'!N252)</f>
        <v/>
      </c>
      <c r="AW331" s="1305"/>
      <c r="AX331" s="1306"/>
      <c r="AY331" s="1222"/>
      <c r="AZ331" s="1222"/>
      <c r="BA331" s="1222"/>
      <c r="BB331" s="1222"/>
      <c r="BC331" s="1222"/>
      <c r="BD331" s="1222"/>
      <c r="BE331" s="1222"/>
      <c r="BF331" s="1222"/>
      <c r="BG331" s="1222"/>
      <c r="BH331" s="1324"/>
      <c r="BI331" s="1326"/>
      <c r="BJ331" s="1303"/>
      <c r="BK331" s="452" t="str">
        <f>G330</f>
        <v/>
      </c>
    </row>
    <row r="332" spans="1:63" ht="15" customHeight="1">
      <c r="A332" s="1295"/>
      <c r="B332" s="1235"/>
      <c r="C332" s="1236"/>
      <c r="D332" s="1236"/>
      <c r="E332" s="1236"/>
      <c r="F332" s="1237"/>
      <c r="G332" s="1252"/>
      <c r="H332" s="1252"/>
      <c r="I332" s="1252"/>
      <c r="J332" s="1415"/>
      <c r="K332" s="1252"/>
      <c r="L332" s="1276"/>
      <c r="M332" s="1372"/>
      <c r="N332" s="1393"/>
      <c r="O332" s="1373" t="s">
        <v>2025</v>
      </c>
      <c r="P332" s="1375" t="str">
        <f>IFERROR(VLOOKUP('別紙様式2-2（４・５月分）'!AQ251,【参考】数式用!$AR$5:$AT$22,3,FALSE),"")</f>
        <v/>
      </c>
      <c r="Q332" s="1377" t="s">
        <v>2036</v>
      </c>
      <c r="R332" s="1379" t="str">
        <f>IFERROR(VLOOKUP(K330,【参考】数式用!$A$5:$AB$37,MATCH(P332,【参考】数式用!$B$4:$AB$4,0)+1,0),"")</f>
        <v/>
      </c>
      <c r="S332" s="1381" t="s">
        <v>161</v>
      </c>
      <c r="T332" s="1383"/>
      <c r="U332" s="1385" t="str">
        <f>IFERROR(VLOOKUP(K330,【参考】数式用!$A$5:$AB$37,MATCH(T332,【参考】数式用!$B$4:$AB$4,0)+1,0),"")</f>
        <v/>
      </c>
      <c r="V332" s="1387" t="s">
        <v>15</v>
      </c>
      <c r="W332" s="1389">
        <v>7</v>
      </c>
      <c r="X332" s="1363" t="s">
        <v>10</v>
      </c>
      <c r="Y332" s="1389">
        <v>4</v>
      </c>
      <c r="Z332" s="1363" t="s">
        <v>38</v>
      </c>
      <c r="AA332" s="1389">
        <v>8</v>
      </c>
      <c r="AB332" s="1363" t="s">
        <v>10</v>
      </c>
      <c r="AC332" s="1389">
        <v>3</v>
      </c>
      <c r="AD332" s="1363" t="s">
        <v>13</v>
      </c>
      <c r="AE332" s="1363" t="s">
        <v>20</v>
      </c>
      <c r="AF332" s="1363">
        <f>IF(W332&gt;=1,(AA332*12+AC332)-(W332*12+Y332)+1,"")</f>
        <v>12</v>
      </c>
      <c r="AG332" s="1359" t="s">
        <v>33</v>
      </c>
      <c r="AH332" s="1365" t="str">
        <f t="shared" ref="AH332" si="871">IFERROR(ROUNDDOWN(ROUND(L330*U332,0),0)*AF332,"")</f>
        <v/>
      </c>
      <c r="AI332" s="1367" t="str">
        <f t="shared" ref="AI332" si="872">IFERROR(ROUNDDOWN(ROUND((L330*(U332-AW330)),0),0)*AF332,"")</f>
        <v/>
      </c>
      <c r="AJ332" s="1369">
        <f>IFERROR(IF(OR(M330="",M331="",M333=""),0,ROUNDDOWN(ROUNDDOWN(ROUND(L330*VLOOKUP(K330,【参考】数式用!$A$5:$AB$37,MATCH("新加算Ⅳ",【参考】数式用!$B$4:$AB$4,0)+1,0),0),0)*AF332*0.5,0)),"")</f>
        <v>0</v>
      </c>
      <c r="AK332" s="1339" t="str">
        <f t="shared" ref="AK332" si="873">IF(T332&lt;&gt;"","新規に適用","")</f>
        <v/>
      </c>
      <c r="AL332" s="1343">
        <f>IFERROR(IF(OR(M333="ベア加算",M333=""),0, IF(OR(T330="新加算Ⅰ",T330="新加算Ⅱ",T330="新加算Ⅲ",T330="新加算Ⅳ"),0,ROUNDDOWN(ROUND(L330*VLOOKUP(K330,【参考】数式用!$A$5:$I$37,MATCH("ベア加算",【参考】数式用!$B$4:$I$4,0)+1,0),0),0)*AF332)),"")</f>
        <v>0</v>
      </c>
      <c r="AM332" s="1313" t="str">
        <f>IF(AND(T332&lt;&gt;"",AM330=""),"新規に適用",IF(AND(T332&lt;&gt;"",AM330&lt;&gt;""),"継続で適用",""))</f>
        <v/>
      </c>
      <c r="AN332" s="1313" t="str">
        <f>IF(AND(T332&lt;&gt;"",AN330=""),"新規に適用",IF(AND(T332&lt;&gt;"",AN330&lt;&gt;""),"継続で適用",""))</f>
        <v/>
      </c>
      <c r="AO332" s="1361"/>
      <c r="AP332" s="1313" t="str">
        <f>IF(AND(T332&lt;&gt;"",AP330=""),"新規に適用",IF(AND(T332&lt;&gt;"",AP330&lt;&gt;""),"継続で適用",""))</f>
        <v/>
      </c>
      <c r="AQ332" s="1317" t="str">
        <f t="shared" si="774"/>
        <v/>
      </c>
      <c r="AR332" s="1313" t="str">
        <f>IF(AND(T332&lt;&gt;"",AR330=""),"新規に適用",IF(AND(T332&lt;&gt;"",AR330&lt;&gt;""),"継続で適用",""))</f>
        <v/>
      </c>
      <c r="AS332" s="1302"/>
      <c r="AT332" s="554"/>
      <c r="AU332" s="1303" t="str">
        <f>IF(K330&lt;&gt;"","V列に色付け","")</f>
        <v/>
      </c>
      <c r="AV332" s="1304"/>
      <c r="AW332" s="1305"/>
      <c r="AX332"/>
      <c r="AY332"/>
      <c r="AZ332"/>
      <c r="BA332"/>
      <c r="BB332"/>
      <c r="BC332"/>
      <c r="BD332"/>
      <c r="BE332"/>
      <c r="BF332"/>
      <c r="BG332"/>
      <c r="BH332"/>
      <c r="BI332"/>
      <c r="BJ332"/>
      <c r="BK332" s="452" t="str">
        <f>G330</f>
        <v/>
      </c>
    </row>
    <row r="333" spans="1:63" ht="30" customHeight="1" thickBot="1">
      <c r="A333" s="1268"/>
      <c r="B333" s="1411"/>
      <c r="C333" s="1412"/>
      <c r="D333" s="1412"/>
      <c r="E333" s="1412"/>
      <c r="F333" s="1413"/>
      <c r="G333" s="1253"/>
      <c r="H333" s="1253"/>
      <c r="I333" s="1253"/>
      <c r="J333" s="1416"/>
      <c r="K333" s="1253"/>
      <c r="L333" s="1277"/>
      <c r="M333" s="553" t="str">
        <f>IF('別紙様式2-2（４・５月分）'!P253="","",'別紙様式2-2（４・５月分）'!P253)</f>
        <v/>
      </c>
      <c r="N333" s="1394"/>
      <c r="O333" s="1374"/>
      <c r="P333" s="1376"/>
      <c r="Q333" s="1378"/>
      <c r="R333" s="1380"/>
      <c r="S333" s="1382"/>
      <c r="T333" s="1384"/>
      <c r="U333" s="1386"/>
      <c r="V333" s="1388"/>
      <c r="W333" s="1390"/>
      <c r="X333" s="1364"/>
      <c r="Y333" s="1390"/>
      <c r="Z333" s="1364"/>
      <c r="AA333" s="1390"/>
      <c r="AB333" s="1364"/>
      <c r="AC333" s="1390"/>
      <c r="AD333" s="1364"/>
      <c r="AE333" s="1364"/>
      <c r="AF333" s="1364"/>
      <c r="AG333" s="1360"/>
      <c r="AH333" s="1366"/>
      <c r="AI333" s="1368"/>
      <c r="AJ333" s="1370"/>
      <c r="AK333" s="1340"/>
      <c r="AL333" s="1344"/>
      <c r="AM333" s="1314"/>
      <c r="AN333" s="1314"/>
      <c r="AO333" s="1362"/>
      <c r="AP333" s="1314"/>
      <c r="AQ333" s="1318"/>
      <c r="AR333" s="1314"/>
      <c r="AS333" s="490"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4"/>
      <c r="AU333" s="1303"/>
      <c r="AV333" s="555" t="str">
        <f>IF('別紙様式2-2（４・５月分）'!N253="","",'別紙様式2-2（４・５月分）'!N253)</f>
        <v/>
      </c>
      <c r="AW333" s="1305"/>
      <c r="AX333"/>
      <c r="AY333"/>
      <c r="AZ333"/>
      <c r="BA333"/>
      <c r="BB333"/>
      <c r="BC333"/>
      <c r="BD333"/>
      <c r="BE333"/>
      <c r="BF333"/>
      <c r="BG333"/>
      <c r="BH333"/>
      <c r="BI333"/>
      <c r="BJ333"/>
      <c r="BK333" s="452" t="str">
        <f>G330</f>
        <v/>
      </c>
    </row>
    <row r="334" spans="1:63" ht="30" customHeight="1">
      <c r="A334" s="1266">
        <v>81</v>
      </c>
      <c r="B334" s="1232" t="str">
        <f>IF(基本情報入力シート!C134="","",基本情報入力シート!C134)</f>
        <v/>
      </c>
      <c r="C334" s="1233"/>
      <c r="D334" s="1233"/>
      <c r="E334" s="1233"/>
      <c r="F334" s="1234"/>
      <c r="G334" s="1251" t="str">
        <f>IF(基本情報入力シート!M134="","",基本情報入力シート!M134)</f>
        <v/>
      </c>
      <c r="H334" s="1251" t="str">
        <f>IF(基本情報入力シート!R134="","",基本情報入力シート!R134)</f>
        <v/>
      </c>
      <c r="I334" s="1251" t="str">
        <f>IF(基本情報入力シート!W134="","",基本情報入力シート!W134)</f>
        <v/>
      </c>
      <c r="J334" s="1414" t="str">
        <f>IF(基本情報入力シート!X134="","",基本情報入力シート!X134)</f>
        <v/>
      </c>
      <c r="K334" s="1251" t="str">
        <f>IF(基本情報入力シート!Y134="","",基本情報入力シート!Y134)</f>
        <v/>
      </c>
      <c r="L334" s="1275" t="str">
        <f>IF(基本情報入力シート!AB134="","",基本情報入力シート!AB134)</f>
        <v/>
      </c>
      <c r="M334" s="550" t="str">
        <f>IF('別紙様式2-2（４・５月分）'!P254="","",'別紙様式2-2（４・５月分）'!P254)</f>
        <v/>
      </c>
      <c r="N334" s="1391" t="str">
        <f>IF(SUM('別紙様式2-2（４・５月分）'!Q254:Q256)=0,"",SUM('別紙様式2-2（４・５月分）'!Q254:Q256))</f>
        <v/>
      </c>
      <c r="O334" s="1395" t="str">
        <f>IFERROR(VLOOKUP('別紙様式2-2（４・５月分）'!AQ254,【参考】数式用!$AR$5:$AS$22,2,FALSE),"")</f>
        <v/>
      </c>
      <c r="P334" s="1396"/>
      <c r="Q334" s="1397"/>
      <c r="R334" s="1401" t="str">
        <f>IFERROR(VLOOKUP(K334,【参考】数式用!$A$5:$AB$37,MATCH(O334,【参考】数式用!$B$4:$AB$4,0)+1,0),"")</f>
        <v/>
      </c>
      <c r="S334" s="1403" t="s">
        <v>2021</v>
      </c>
      <c r="T334" s="1405"/>
      <c r="U334" s="1407" t="str">
        <f>IFERROR(VLOOKUP(K334,【参考】数式用!$A$5:$AB$37,MATCH(T334,【参考】数式用!$B$4:$AB$4,0)+1,0),"")</f>
        <v/>
      </c>
      <c r="V334" s="1409" t="s">
        <v>15</v>
      </c>
      <c r="W334" s="1347">
        <v>6</v>
      </c>
      <c r="X334" s="1349" t="s">
        <v>10</v>
      </c>
      <c r="Y334" s="1347">
        <v>6</v>
      </c>
      <c r="Z334" s="1349" t="s">
        <v>38</v>
      </c>
      <c r="AA334" s="1347">
        <v>7</v>
      </c>
      <c r="AB334" s="1349" t="s">
        <v>10</v>
      </c>
      <c r="AC334" s="1347">
        <v>3</v>
      </c>
      <c r="AD334" s="1349" t="s">
        <v>13</v>
      </c>
      <c r="AE334" s="1349" t="s">
        <v>20</v>
      </c>
      <c r="AF334" s="1349">
        <f>IF(W334&gt;=1,(AA334*12+AC334)-(W334*12+Y334)+1,"")</f>
        <v>10</v>
      </c>
      <c r="AG334" s="1351" t="s">
        <v>33</v>
      </c>
      <c r="AH334" s="1353" t="str">
        <f t="shared" ref="AH334" si="875">IFERROR(ROUNDDOWN(ROUND(L334*U334,0),0)*AF334,"")</f>
        <v/>
      </c>
      <c r="AI334" s="1355" t="str">
        <f t="shared" ref="AI334" si="876">IFERROR(ROUNDDOWN(ROUND((L334*(U334-AW334)),0),0)*AF334,"")</f>
        <v/>
      </c>
      <c r="AJ334" s="1357">
        <f>IFERROR(IF(OR(M334="",M335="",M337=""),0,ROUNDDOWN(ROUNDDOWN(ROUND(L334*VLOOKUP(K334,【参考】数式用!$A$5:$AB$37,MATCH("新加算Ⅳ",【参考】数式用!$B$4:$AB$4,0)+1,0),0),0)*AF334*0.5,0)),"")</f>
        <v>0</v>
      </c>
      <c r="AK334" s="1341"/>
      <c r="AL334" s="1345">
        <f>IFERROR(IF(OR(M337="ベア加算",M337=""),0, IF(OR(T334="新加算Ⅰ",T334="新加算Ⅱ",T334="新加算Ⅲ",T334="新加算Ⅳ"),ROUNDDOWN(ROUND(L334*VLOOKUP(K334,【参考】数式用!$A$5:$I$37,MATCH("ベア加算",【参考】数式用!$B$4:$I$4,0)+1,0),0),0)*AF334,0)),"")</f>
        <v>0</v>
      </c>
      <c r="AM334" s="1331"/>
      <c r="AN334" s="1337"/>
      <c r="AO334" s="1333"/>
      <c r="AP334" s="1333"/>
      <c r="AQ334" s="1335"/>
      <c r="AR334" s="1315"/>
      <c r="AS334" s="465" t="str">
        <f t="shared" ref="AS334" si="877">IF(AU334="","",IF(U334&lt;N334,"！加算の要件上は問題ありませんが、令和６年４・５月と比較して令和６年６月に加算率が下がる計画になっています。",""))</f>
        <v/>
      </c>
      <c r="AT334" s="554"/>
      <c r="AU334" s="1303" t="str">
        <f>IF(K334&lt;&gt;"","V列に色付け","")</f>
        <v/>
      </c>
      <c r="AV334" s="555" t="str">
        <f>IF('別紙様式2-2（４・５月分）'!N254="","",'別紙様式2-2（４・５月分）'!N254)</f>
        <v/>
      </c>
      <c r="AW334" s="1305" t="str">
        <f>IF(SUM('別紙様式2-2（４・５月分）'!O254:O256)=0,"",SUM('別紙様式2-2（４・５月分）'!O254:O256))</f>
        <v/>
      </c>
      <c r="AX334" s="1306" t="str">
        <f>IFERROR(VLOOKUP(K334,【参考】数式用!$AH$2:$AI$34,2,FALSE),"")</f>
        <v/>
      </c>
      <c r="AY334" s="1222" t="s">
        <v>1959</v>
      </c>
      <c r="AZ334" s="1222" t="s">
        <v>1960</v>
      </c>
      <c r="BA334" s="1222" t="s">
        <v>1961</v>
      </c>
      <c r="BB334" s="1222" t="s">
        <v>1962</v>
      </c>
      <c r="BC334" s="1222" t="str">
        <f>IF(AND(O334&lt;&gt;"新加算Ⅰ",O334&lt;&gt;"新加算Ⅱ",O334&lt;&gt;"新加算Ⅲ",O334&lt;&gt;"新加算Ⅳ"),O334,IF(P336&lt;&gt;"",P336,""))</f>
        <v/>
      </c>
      <c r="BD334" s="1222"/>
      <c r="BE334" s="1222" t="str">
        <f t="shared" ref="BE334" si="878">IF(AL334&lt;&gt;0,IF(AM334="○","入力済","未入力"),"")</f>
        <v/>
      </c>
      <c r="BF334" s="1222"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2" t="str">
        <f>IF(OR(T334="新加算Ⅴ（７）",T334="新加算Ⅴ（９）",T334="新加算Ⅴ（10）",T334="新加算Ⅴ（12）",T334="新加算Ⅴ（13）",T334="新加算Ⅴ（14）"),IF(OR(AO334="○",AO334="令和６年度中に満たす"),"入力済","未入力"),"")</f>
        <v/>
      </c>
      <c r="BH334" s="1323" t="str">
        <f t="shared" ref="BH334" si="879">IF(OR(T334="新加算Ⅰ",T334="新加算Ⅱ",T334="新加算Ⅲ",T334="新加算Ⅴ（１）",T334="新加算Ⅴ（３）",T334="新加算Ⅴ（８）"),IF(OR(AP334="○",AP334="令和６年度中に満たす"),"入力済","未入力"),"")</f>
        <v/>
      </c>
      <c r="BI334" s="1325" t="str">
        <f t="shared" ref="BI334" si="880">IF(OR(T334="新加算Ⅰ",T334="新加算Ⅱ",T334="新加算Ⅴ（１）",T334="新加算Ⅴ（２）",T334="新加算Ⅴ（３）",T334="新加算Ⅴ（４）",T334="新加算Ⅴ（５）",T334="新加算Ⅴ（６）",T334="新加算Ⅴ（７）",T334="新加算Ⅴ（９）",T334="新加算Ⅴ（10）",T334="新加算Ⅴ（12）"),1,"")</f>
        <v/>
      </c>
      <c r="BJ334" s="1303" t="str">
        <f>IF(OR(T334="新加算Ⅰ",T334="新加算Ⅴ（１）",T334="新加算Ⅴ（２）",T334="新加算Ⅴ（５）",T334="新加算Ⅴ（７）",T334="新加算Ⅴ（10）"),IF(AR334="","未入力","入力済"),"")</f>
        <v/>
      </c>
      <c r="BK334" s="452" t="str">
        <f>G334</f>
        <v/>
      </c>
    </row>
    <row r="335" spans="1:63" ht="15" customHeight="1">
      <c r="A335" s="1267"/>
      <c r="B335" s="1235"/>
      <c r="C335" s="1236"/>
      <c r="D335" s="1236"/>
      <c r="E335" s="1236"/>
      <c r="F335" s="1237"/>
      <c r="G335" s="1252"/>
      <c r="H335" s="1252"/>
      <c r="I335" s="1252"/>
      <c r="J335" s="1415"/>
      <c r="K335" s="1252"/>
      <c r="L335" s="1276"/>
      <c r="M335" s="1371" t="str">
        <f>IF('別紙様式2-2（４・５月分）'!P255="","",'別紙様式2-2（４・５月分）'!P255)</f>
        <v/>
      </c>
      <c r="N335" s="1392"/>
      <c r="O335" s="1398"/>
      <c r="P335" s="1399"/>
      <c r="Q335" s="1400"/>
      <c r="R335" s="1402"/>
      <c r="S335" s="1404"/>
      <c r="T335" s="1406"/>
      <c r="U335" s="1408"/>
      <c r="V335" s="1410"/>
      <c r="W335" s="1348"/>
      <c r="X335" s="1350"/>
      <c r="Y335" s="1348"/>
      <c r="Z335" s="1350"/>
      <c r="AA335" s="1348"/>
      <c r="AB335" s="1350"/>
      <c r="AC335" s="1348"/>
      <c r="AD335" s="1350"/>
      <c r="AE335" s="1350"/>
      <c r="AF335" s="1350"/>
      <c r="AG335" s="1352"/>
      <c r="AH335" s="1354"/>
      <c r="AI335" s="1356"/>
      <c r="AJ335" s="1358"/>
      <c r="AK335" s="1342"/>
      <c r="AL335" s="1346"/>
      <c r="AM335" s="1332"/>
      <c r="AN335" s="1338"/>
      <c r="AO335" s="1334"/>
      <c r="AP335" s="1334"/>
      <c r="AQ335" s="1336"/>
      <c r="AR335" s="1316"/>
      <c r="AS335" s="1302"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4"/>
      <c r="AU335" s="1303"/>
      <c r="AV335" s="1304" t="str">
        <f>IF('別紙様式2-2（４・５月分）'!N255="","",'別紙様式2-2（４・５月分）'!N255)</f>
        <v/>
      </c>
      <c r="AW335" s="1305"/>
      <c r="AX335" s="1306"/>
      <c r="AY335" s="1222"/>
      <c r="AZ335" s="1222"/>
      <c r="BA335" s="1222"/>
      <c r="BB335" s="1222"/>
      <c r="BC335" s="1222"/>
      <c r="BD335" s="1222"/>
      <c r="BE335" s="1222"/>
      <c r="BF335" s="1222"/>
      <c r="BG335" s="1222"/>
      <c r="BH335" s="1324"/>
      <c r="BI335" s="1326"/>
      <c r="BJ335" s="1303"/>
      <c r="BK335" s="452" t="str">
        <f>G334</f>
        <v/>
      </c>
    </row>
    <row r="336" spans="1:63" ht="15" customHeight="1">
      <c r="A336" s="1295"/>
      <c r="B336" s="1235"/>
      <c r="C336" s="1236"/>
      <c r="D336" s="1236"/>
      <c r="E336" s="1236"/>
      <c r="F336" s="1237"/>
      <c r="G336" s="1252"/>
      <c r="H336" s="1252"/>
      <c r="I336" s="1252"/>
      <c r="J336" s="1415"/>
      <c r="K336" s="1252"/>
      <c r="L336" s="1276"/>
      <c r="M336" s="1372"/>
      <c r="N336" s="1393"/>
      <c r="O336" s="1373" t="s">
        <v>2025</v>
      </c>
      <c r="P336" s="1375" t="str">
        <f>IFERROR(VLOOKUP('別紙様式2-2（４・５月分）'!AQ254,【参考】数式用!$AR$5:$AT$22,3,FALSE),"")</f>
        <v/>
      </c>
      <c r="Q336" s="1377" t="s">
        <v>2036</v>
      </c>
      <c r="R336" s="1379" t="str">
        <f>IFERROR(VLOOKUP(K334,【参考】数式用!$A$5:$AB$37,MATCH(P336,【参考】数式用!$B$4:$AB$4,0)+1,0),"")</f>
        <v/>
      </c>
      <c r="S336" s="1381" t="s">
        <v>161</v>
      </c>
      <c r="T336" s="1383"/>
      <c r="U336" s="1385" t="str">
        <f>IFERROR(VLOOKUP(K334,【参考】数式用!$A$5:$AB$37,MATCH(T336,【参考】数式用!$B$4:$AB$4,0)+1,0),"")</f>
        <v/>
      </c>
      <c r="V336" s="1387" t="s">
        <v>15</v>
      </c>
      <c r="W336" s="1389">
        <v>7</v>
      </c>
      <c r="X336" s="1363" t="s">
        <v>10</v>
      </c>
      <c r="Y336" s="1389">
        <v>4</v>
      </c>
      <c r="Z336" s="1363" t="s">
        <v>38</v>
      </c>
      <c r="AA336" s="1389">
        <v>8</v>
      </c>
      <c r="AB336" s="1363" t="s">
        <v>10</v>
      </c>
      <c r="AC336" s="1389">
        <v>3</v>
      </c>
      <c r="AD336" s="1363" t="s">
        <v>13</v>
      </c>
      <c r="AE336" s="1363" t="s">
        <v>20</v>
      </c>
      <c r="AF336" s="1363">
        <f>IF(W336&gt;=1,(AA336*12+AC336)-(W336*12+Y336)+1,"")</f>
        <v>12</v>
      </c>
      <c r="AG336" s="1359" t="s">
        <v>33</v>
      </c>
      <c r="AH336" s="1365" t="str">
        <f t="shared" ref="AH336" si="882">IFERROR(ROUNDDOWN(ROUND(L334*U336,0),0)*AF336,"")</f>
        <v/>
      </c>
      <c r="AI336" s="1367" t="str">
        <f t="shared" ref="AI336" si="883">IFERROR(ROUNDDOWN(ROUND((L334*(U336-AW334)),0),0)*AF336,"")</f>
        <v/>
      </c>
      <c r="AJ336" s="1369">
        <f>IFERROR(IF(OR(M334="",M335="",M337=""),0,ROUNDDOWN(ROUNDDOWN(ROUND(L334*VLOOKUP(K334,【参考】数式用!$A$5:$AB$37,MATCH("新加算Ⅳ",【参考】数式用!$B$4:$AB$4,0)+1,0),0),0)*AF336*0.5,0)),"")</f>
        <v>0</v>
      </c>
      <c r="AK336" s="1339" t="str">
        <f t="shared" ref="AK336" si="884">IF(T336&lt;&gt;"","新規に適用","")</f>
        <v/>
      </c>
      <c r="AL336" s="1343">
        <f>IFERROR(IF(OR(M337="ベア加算",M337=""),0, IF(OR(T334="新加算Ⅰ",T334="新加算Ⅱ",T334="新加算Ⅲ",T334="新加算Ⅳ"),0,ROUNDDOWN(ROUND(L334*VLOOKUP(K334,【参考】数式用!$A$5:$I$37,MATCH("ベア加算",【参考】数式用!$B$4:$I$4,0)+1,0),0),0)*AF336)),"")</f>
        <v>0</v>
      </c>
      <c r="AM336" s="1313" t="str">
        <f>IF(AND(T336&lt;&gt;"",AM334=""),"新規に適用",IF(AND(T336&lt;&gt;"",AM334&lt;&gt;""),"継続で適用",""))</f>
        <v/>
      </c>
      <c r="AN336" s="1313" t="str">
        <f>IF(AND(T336&lt;&gt;"",AN334=""),"新規に適用",IF(AND(T336&lt;&gt;"",AN334&lt;&gt;""),"継続で適用",""))</f>
        <v/>
      </c>
      <c r="AO336" s="1361"/>
      <c r="AP336" s="1313" t="str">
        <f>IF(AND(T336&lt;&gt;"",AP334=""),"新規に適用",IF(AND(T336&lt;&gt;"",AP334&lt;&gt;""),"継続で適用",""))</f>
        <v/>
      </c>
      <c r="AQ336" s="1317" t="str">
        <f t="shared" si="774"/>
        <v/>
      </c>
      <c r="AR336" s="1313" t="str">
        <f>IF(AND(T336&lt;&gt;"",AR334=""),"新規に適用",IF(AND(T336&lt;&gt;"",AR334&lt;&gt;""),"継続で適用",""))</f>
        <v/>
      </c>
      <c r="AS336" s="1302"/>
      <c r="AT336" s="554"/>
      <c r="AU336" s="1303" t="str">
        <f>IF(K334&lt;&gt;"","V列に色付け","")</f>
        <v/>
      </c>
      <c r="AV336" s="1304"/>
      <c r="AW336" s="1305"/>
      <c r="AX336"/>
      <c r="AY336"/>
      <c r="AZ336"/>
      <c r="BA336"/>
      <c r="BB336"/>
      <c r="BC336"/>
      <c r="BD336"/>
      <c r="BE336"/>
      <c r="BF336"/>
      <c r="BG336"/>
      <c r="BH336"/>
      <c r="BI336"/>
      <c r="BJ336"/>
      <c r="BK336" s="452" t="str">
        <f>G334</f>
        <v/>
      </c>
    </row>
    <row r="337" spans="1:63" ht="30" customHeight="1" thickBot="1">
      <c r="A337" s="1268"/>
      <c r="B337" s="1411"/>
      <c r="C337" s="1412"/>
      <c r="D337" s="1412"/>
      <c r="E337" s="1412"/>
      <c r="F337" s="1413"/>
      <c r="G337" s="1253"/>
      <c r="H337" s="1253"/>
      <c r="I337" s="1253"/>
      <c r="J337" s="1416"/>
      <c r="K337" s="1253"/>
      <c r="L337" s="1277"/>
      <c r="M337" s="553" t="str">
        <f>IF('別紙様式2-2（４・５月分）'!P256="","",'別紙様式2-2（４・５月分）'!P256)</f>
        <v/>
      </c>
      <c r="N337" s="1394"/>
      <c r="O337" s="1374"/>
      <c r="P337" s="1376"/>
      <c r="Q337" s="1378"/>
      <c r="R337" s="1380"/>
      <c r="S337" s="1382"/>
      <c r="T337" s="1384"/>
      <c r="U337" s="1386"/>
      <c r="V337" s="1388"/>
      <c r="W337" s="1390"/>
      <c r="X337" s="1364"/>
      <c r="Y337" s="1390"/>
      <c r="Z337" s="1364"/>
      <c r="AA337" s="1390"/>
      <c r="AB337" s="1364"/>
      <c r="AC337" s="1390"/>
      <c r="AD337" s="1364"/>
      <c r="AE337" s="1364"/>
      <c r="AF337" s="1364"/>
      <c r="AG337" s="1360"/>
      <c r="AH337" s="1366"/>
      <c r="AI337" s="1368"/>
      <c r="AJ337" s="1370"/>
      <c r="AK337" s="1340"/>
      <c r="AL337" s="1344"/>
      <c r="AM337" s="1314"/>
      <c r="AN337" s="1314"/>
      <c r="AO337" s="1362"/>
      <c r="AP337" s="1314"/>
      <c r="AQ337" s="1318"/>
      <c r="AR337" s="1314"/>
      <c r="AS337" s="490"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4"/>
      <c r="AU337" s="1303"/>
      <c r="AV337" s="555" t="str">
        <f>IF('別紙様式2-2（４・５月分）'!N256="","",'別紙様式2-2（４・５月分）'!N256)</f>
        <v/>
      </c>
      <c r="AW337" s="1305"/>
      <c r="AX337"/>
      <c r="AY337"/>
      <c r="AZ337"/>
      <c r="BA337"/>
      <c r="BB337"/>
      <c r="BC337"/>
      <c r="BD337"/>
      <c r="BE337"/>
      <c r="BF337"/>
      <c r="BG337"/>
      <c r="BH337"/>
      <c r="BI337"/>
      <c r="BJ337"/>
      <c r="BK337" s="452" t="str">
        <f>G334</f>
        <v/>
      </c>
    </row>
    <row r="338" spans="1:63" ht="30" customHeight="1">
      <c r="A338" s="1293">
        <v>82</v>
      </c>
      <c r="B338" s="1235" t="str">
        <f>IF(基本情報入力シート!C135="","",基本情報入力シート!C135)</f>
        <v/>
      </c>
      <c r="C338" s="1236"/>
      <c r="D338" s="1236"/>
      <c r="E338" s="1236"/>
      <c r="F338" s="1237"/>
      <c r="G338" s="1252" t="str">
        <f>IF(基本情報入力シート!M135="","",基本情報入力シート!M135)</f>
        <v/>
      </c>
      <c r="H338" s="1252" t="str">
        <f>IF(基本情報入力シート!R135="","",基本情報入力シート!R135)</f>
        <v/>
      </c>
      <c r="I338" s="1252" t="str">
        <f>IF(基本情報入力シート!W135="","",基本情報入力シート!W135)</f>
        <v/>
      </c>
      <c r="J338" s="1415" t="str">
        <f>IF(基本情報入力シート!X135="","",基本情報入力シート!X135)</f>
        <v/>
      </c>
      <c r="K338" s="1252" t="str">
        <f>IF(基本情報入力シート!Y135="","",基本情報入力シート!Y135)</f>
        <v/>
      </c>
      <c r="L338" s="1276" t="str">
        <f>IF(基本情報入力シート!AB135="","",基本情報入力シート!AB135)</f>
        <v/>
      </c>
      <c r="M338" s="550" t="str">
        <f>IF('別紙様式2-2（４・５月分）'!P257="","",'別紙様式2-2（４・５月分）'!P257)</f>
        <v/>
      </c>
      <c r="N338" s="1391" t="str">
        <f>IF(SUM('別紙様式2-2（４・５月分）'!Q257:Q259)=0,"",SUM('別紙様式2-2（４・５月分）'!Q257:Q259))</f>
        <v/>
      </c>
      <c r="O338" s="1395" t="str">
        <f>IFERROR(VLOOKUP('別紙様式2-2（４・５月分）'!AQ257,【参考】数式用!$AR$5:$AS$22,2,FALSE),"")</f>
        <v/>
      </c>
      <c r="P338" s="1396"/>
      <c r="Q338" s="1397"/>
      <c r="R338" s="1401" t="str">
        <f>IFERROR(VLOOKUP(K338,【参考】数式用!$A$5:$AB$37,MATCH(O338,【参考】数式用!$B$4:$AB$4,0)+1,0),"")</f>
        <v/>
      </c>
      <c r="S338" s="1403" t="s">
        <v>2021</v>
      </c>
      <c r="T338" s="1405"/>
      <c r="U338" s="1407" t="str">
        <f>IFERROR(VLOOKUP(K338,【参考】数式用!$A$5:$AB$37,MATCH(T338,【参考】数式用!$B$4:$AB$4,0)+1,0),"")</f>
        <v/>
      </c>
      <c r="V338" s="1409" t="s">
        <v>15</v>
      </c>
      <c r="W338" s="1347">
        <v>6</v>
      </c>
      <c r="X338" s="1349" t="s">
        <v>10</v>
      </c>
      <c r="Y338" s="1347">
        <v>6</v>
      </c>
      <c r="Z338" s="1349" t="s">
        <v>38</v>
      </c>
      <c r="AA338" s="1347">
        <v>7</v>
      </c>
      <c r="AB338" s="1349" t="s">
        <v>10</v>
      </c>
      <c r="AC338" s="1347">
        <v>3</v>
      </c>
      <c r="AD338" s="1349" t="s">
        <v>13</v>
      </c>
      <c r="AE338" s="1349" t="s">
        <v>20</v>
      </c>
      <c r="AF338" s="1349">
        <f>IF(W338&gt;=1,(AA338*12+AC338)-(W338*12+Y338)+1,"")</f>
        <v>10</v>
      </c>
      <c r="AG338" s="1351" t="s">
        <v>33</v>
      </c>
      <c r="AH338" s="1353" t="str">
        <f t="shared" ref="AH338" si="886">IFERROR(ROUNDDOWN(ROUND(L338*U338,0),0)*AF338,"")</f>
        <v/>
      </c>
      <c r="AI338" s="1355" t="str">
        <f t="shared" ref="AI338" si="887">IFERROR(ROUNDDOWN(ROUND((L338*(U338-AW338)),0),0)*AF338,"")</f>
        <v/>
      </c>
      <c r="AJ338" s="1357">
        <f>IFERROR(IF(OR(M338="",M339="",M341=""),0,ROUNDDOWN(ROUNDDOWN(ROUND(L338*VLOOKUP(K338,【参考】数式用!$A$5:$AB$37,MATCH("新加算Ⅳ",【参考】数式用!$B$4:$AB$4,0)+1,0),0),0)*AF338*0.5,0)),"")</f>
        <v>0</v>
      </c>
      <c r="AK338" s="1341"/>
      <c r="AL338" s="1345">
        <f>IFERROR(IF(OR(M341="ベア加算",M341=""),0, IF(OR(T338="新加算Ⅰ",T338="新加算Ⅱ",T338="新加算Ⅲ",T338="新加算Ⅳ"),ROUNDDOWN(ROUND(L338*VLOOKUP(K338,【参考】数式用!$A$5:$I$37,MATCH("ベア加算",【参考】数式用!$B$4:$I$4,0)+1,0),0),0)*AF338,0)),"")</f>
        <v>0</v>
      </c>
      <c r="AM338" s="1331"/>
      <c r="AN338" s="1337"/>
      <c r="AO338" s="1333"/>
      <c r="AP338" s="1333"/>
      <c r="AQ338" s="1335"/>
      <c r="AR338" s="1315"/>
      <c r="AS338" s="465" t="str">
        <f t="shared" ref="AS338" si="888">IF(AU338="","",IF(U338&lt;N338,"！加算の要件上は問題ありませんが、令和６年４・５月と比較して令和６年６月に加算率が下がる計画になっています。",""))</f>
        <v/>
      </c>
      <c r="AT338" s="554"/>
      <c r="AU338" s="1303" t="str">
        <f>IF(K338&lt;&gt;"","V列に色付け","")</f>
        <v/>
      </c>
      <c r="AV338" s="555" t="str">
        <f>IF('別紙様式2-2（４・５月分）'!N257="","",'別紙様式2-2（４・５月分）'!N257)</f>
        <v/>
      </c>
      <c r="AW338" s="1305" t="str">
        <f>IF(SUM('別紙様式2-2（４・５月分）'!O257:O259)=0,"",SUM('別紙様式2-2（４・５月分）'!O257:O259))</f>
        <v/>
      </c>
      <c r="AX338" s="1306" t="str">
        <f>IFERROR(VLOOKUP(K338,【参考】数式用!$AH$2:$AI$34,2,FALSE),"")</f>
        <v/>
      </c>
      <c r="AY338" s="1222" t="s">
        <v>1959</v>
      </c>
      <c r="AZ338" s="1222" t="s">
        <v>1960</v>
      </c>
      <c r="BA338" s="1222" t="s">
        <v>1961</v>
      </c>
      <c r="BB338" s="1222" t="s">
        <v>1962</v>
      </c>
      <c r="BC338" s="1222" t="str">
        <f>IF(AND(O338&lt;&gt;"新加算Ⅰ",O338&lt;&gt;"新加算Ⅱ",O338&lt;&gt;"新加算Ⅲ",O338&lt;&gt;"新加算Ⅳ"),O338,IF(P340&lt;&gt;"",P340,""))</f>
        <v/>
      </c>
      <c r="BD338" s="1222"/>
      <c r="BE338" s="1222" t="str">
        <f t="shared" ref="BE338" si="889">IF(AL338&lt;&gt;0,IF(AM338="○","入力済","未入力"),"")</f>
        <v/>
      </c>
      <c r="BF338" s="1222"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2" t="str">
        <f>IF(OR(T338="新加算Ⅴ（７）",T338="新加算Ⅴ（９）",T338="新加算Ⅴ（10）",T338="新加算Ⅴ（12）",T338="新加算Ⅴ（13）",T338="新加算Ⅴ（14）"),IF(OR(AO338="○",AO338="令和６年度中に満たす"),"入力済","未入力"),"")</f>
        <v/>
      </c>
      <c r="BH338" s="1323" t="str">
        <f t="shared" ref="BH338" si="890">IF(OR(T338="新加算Ⅰ",T338="新加算Ⅱ",T338="新加算Ⅲ",T338="新加算Ⅴ（１）",T338="新加算Ⅴ（３）",T338="新加算Ⅴ（８）"),IF(OR(AP338="○",AP338="令和６年度中に満たす"),"入力済","未入力"),"")</f>
        <v/>
      </c>
      <c r="BI338" s="1325" t="str">
        <f t="shared" ref="BI338" si="891">IF(OR(T338="新加算Ⅰ",T338="新加算Ⅱ",T338="新加算Ⅴ（１）",T338="新加算Ⅴ（２）",T338="新加算Ⅴ（３）",T338="新加算Ⅴ（４）",T338="新加算Ⅴ（５）",T338="新加算Ⅴ（６）",T338="新加算Ⅴ（７）",T338="新加算Ⅴ（９）",T338="新加算Ⅴ（10）",T338="新加算Ⅴ（12）"),1,"")</f>
        <v/>
      </c>
      <c r="BJ338" s="1303" t="str">
        <f>IF(OR(T338="新加算Ⅰ",T338="新加算Ⅴ（１）",T338="新加算Ⅴ（２）",T338="新加算Ⅴ（５）",T338="新加算Ⅴ（７）",T338="新加算Ⅴ（10）"),IF(AR338="","未入力","入力済"),"")</f>
        <v/>
      </c>
      <c r="BK338" s="452" t="str">
        <f>G338</f>
        <v/>
      </c>
    </row>
    <row r="339" spans="1:63" ht="15" customHeight="1">
      <c r="A339" s="1267"/>
      <c r="B339" s="1235"/>
      <c r="C339" s="1236"/>
      <c r="D339" s="1236"/>
      <c r="E339" s="1236"/>
      <c r="F339" s="1237"/>
      <c r="G339" s="1252"/>
      <c r="H339" s="1252"/>
      <c r="I339" s="1252"/>
      <c r="J339" s="1415"/>
      <c r="K339" s="1252"/>
      <c r="L339" s="1276"/>
      <c r="M339" s="1371" t="str">
        <f>IF('別紙様式2-2（４・５月分）'!P258="","",'別紙様式2-2（４・５月分）'!P258)</f>
        <v/>
      </c>
      <c r="N339" s="1392"/>
      <c r="O339" s="1398"/>
      <c r="P339" s="1399"/>
      <c r="Q339" s="1400"/>
      <c r="R339" s="1402"/>
      <c r="S339" s="1404"/>
      <c r="T339" s="1406"/>
      <c r="U339" s="1408"/>
      <c r="V339" s="1410"/>
      <c r="W339" s="1348"/>
      <c r="X339" s="1350"/>
      <c r="Y339" s="1348"/>
      <c r="Z339" s="1350"/>
      <c r="AA339" s="1348"/>
      <c r="AB339" s="1350"/>
      <c r="AC339" s="1348"/>
      <c r="AD339" s="1350"/>
      <c r="AE339" s="1350"/>
      <c r="AF339" s="1350"/>
      <c r="AG339" s="1352"/>
      <c r="AH339" s="1354"/>
      <c r="AI339" s="1356"/>
      <c r="AJ339" s="1358"/>
      <c r="AK339" s="1342"/>
      <c r="AL339" s="1346"/>
      <c r="AM339" s="1332"/>
      <c r="AN339" s="1338"/>
      <c r="AO339" s="1334"/>
      <c r="AP339" s="1334"/>
      <c r="AQ339" s="1336"/>
      <c r="AR339" s="1316"/>
      <c r="AS339" s="1302"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4"/>
      <c r="AU339" s="1303"/>
      <c r="AV339" s="1304" t="str">
        <f>IF('別紙様式2-2（４・５月分）'!N258="","",'別紙様式2-2（４・５月分）'!N258)</f>
        <v/>
      </c>
      <c r="AW339" s="1305"/>
      <c r="AX339" s="1306"/>
      <c r="AY339" s="1222"/>
      <c r="AZ339" s="1222"/>
      <c r="BA339" s="1222"/>
      <c r="BB339" s="1222"/>
      <c r="BC339" s="1222"/>
      <c r="BD339" s="1222"/>
      <c r="BE339" s="1222"/>
      <c r="BF339" s="1222"/>
      <c r="BG339" s="1222"/>
      <c r="BH339" s="1324"/>
      <c r="BI339" s="1326"/>
      <c r="BJ339" s="1303"/>
      <c r="BK339" s="452" t="str">
        <f>G338</f>
        <v/>
      </c>
    </row>
    <row r="340" spans="1:63" ht="15" customHeight="1">
      <c r="A340" s="1295"/>
      <c r="B340" s="1235"/>
      <c r="C340" s="1236"/>
      <c r="D340" s="1236"/>
      <c r="E340" s="1236"/>
      <c r="F340" s="1237"/>
      <c r="G340" s="1252"/>
      <c r="H340" s="1252"/>
      <c r="I340" s="1252"/>
      <c r="J340" s="1415"/>
      <c r="K340" s="1252"/>
      <c r="L340" s="1276"/>
      <c r="M340" s="1372"/>
      <c r="N340" s="1393"/>
      <c r="O340" s="1373" t="s">
        <v>2025</v>
      </c>
      <c r="P340" s="1375" t="str">
        <f>IFERROR(VLOOKUP('別紙様式2-2（４・５月分）'!AQ257,【参考】数式用!$AR$5:$AT$22,3,FALSE),"")</f>
        <v/>
      </c>
      <c r="Q340" s="1377" t="s">
        <v>2036</v>
      </c>
      <c r="R340" s="1379" t="str">
        <f>IFERROR(VLOOKUP(K338,【参考】数式用!$A$5:$AB$37,MATCH(P340,【参考】数式用!$B$4:$AB$4,0)+1,0),"")</f>
        <v/>
      </c>
      <c r="S340" s="1381" t="s">
        <v>161</v>
      </c>
      <c r="T340" s="1383"/>
      <c r="U340" s="1385" t="str">
        <f>IFERROR(VLOOKUP(K338,【参考】数式用!$A$5:$AB$37,MATCH(T340,【参考】数式用!$B$4:$AB$4,0)+1,0),"")</f>
        <v/>
      </c>
      <c r="V340" s="1387" t="s">
        <v>15</v>
      </c>
      <c r="W340" s="1389">
        <v>7</v>
      </c>
      <c r="X340" s="1363" t="s">
        <v>10</v>
      </c>
      <c r="Y340" s="1389">
        <v>4</v>
      </c>
      <c r="Z340" s="1363" t="s">
        <v>38</v>
      </c>
      <c r="AA340" s="1389">
        <v>8</v>
      </c>
      <c r="AB340" s="1363" t="s">
        <v>10</v>
      </c>
      <c r="AC340" s="1389">
        <v>3</v>
      </c>
      <c r="AD340" s="1363" t="s">
        <v>13</v>
      </c>
      <c r="AE340" s="1363" t="s">
        <v>20</v>
      </c>
      <c r="AF340" s="1363">
        <f>IF(W340&gt;=1,(AA340*12+AC340)-(W340*12+Y340)+1,"")</f>
        <v>12</v>
      </c>
      <c r="AG340" s="1359" t="s">
        <v>33</v>
      </c>
      <c r="AH340" s="1365" t="str">
        <f t="shared" ref="AH340" si="893">IFERROR(ROUNDDOWN(ROUND(L338*U340,0),0)*AF340,"")</f>
        <v/>
      </c>
      <c r="AI340" s="1367" t="str">
        <f t="shared" ref="AI340" si="894">IFERROR(ROUNDDOWN(ROUND((L338*(U340-AW338)),0),0)*AF340,"")</f>
        <v/>
      </c>
      <c r="AJ340" s="1369">
        <f>IFERROR(IF(OR(M338="",M339="",M341=""),0,ROUNDDOWN(ROUNDDOWN(ROUND(L338*VLOOKUP(K338,【参考】数式用!$A$5:$AB$37,MATCH("新加算Ⅳ",【参考】数式用!$B$4:$AB$4,0)+1,0),0),0)*AF340*0.5,0)),"")</f>
        <v>0</v>
      </c>
      <c r="AK340" s="1339" t="str">
        <f t="shared" ref="AK340" si="895">IF(T340&lt;&gt;"","新規に適用","")</f>
        <v/>
      </c>
      <c r="AL340" s="1343">
        <f>IFERROR(IF(OR(M341="ベア加算",M341=""),0, IF(OR(T338="新加算Ⅰ",T338="新加算Ⅱ",T338="新加算Ⅲ",T338="新加算Ⅳ"),0,ROUNDDOWN(ROUND(L338*VLOOKUP(K338,【参考】数式用!$A$5:$I$37,MATCH("ベア加算",【参考】数式用!$B$4:$I$4,0)+1,0),0),0)*AF340)),"")</f>
        <v>0</v>
      </c>
      <c r="AM340" s="1313" t="str">
        <f>IF(AND(T340&lt;&gt;"",AM338=""),"新規に適用",IF(AND(T340&lt;&gt;"",AM338&lt;&gt;""),"継続で適用",""))</f>
        <v/>
      </c>
      <c r="AN340" s="1313" t="str">
        <f>IF(AND(T340&lt;&gt;"",AN338=""),"新規に適用",IF(AND(T340&lt;&gt;"",AN338&lt;&gt;""),"継続で適用",""))</f>
        <v/>
      </c>
      <c r="AO340" s="1361"/>
      <c r="AP340" s="1313" t="str">
        <f>IF(AND(T340&lt;&gt;"",AP338=""),"新規に適用",IF(AND(T340&lt;&gt;"",AP338&lt;&gt;""),"継続で適用",""))</f>
        <v/>
      </c>
      <c r="AQ340" s="1317" t="str">
        <f t="shared" si="774"/>
        <v/>
      </c>
      <c r="AR340" s="1313" t="str">
        <f>IF(AND(T340&lt;&gt;"",AR338=""),"新規に適用",IF(AND(T340&lt;&gt;"",AR338&lt;&gt;""),"継続で適用",""))</f>
        <v/>
      </c>
      <c r="AS340" s="1302"/>
      <c r="AT340" s="554"/>
      <c r="AU340" s="1303" t="str">
        <f>IF(K338&lt;&gt;"","V列に色付け","")</f>
        <v/>
      </c>
      <c r="AV340" s="1304"/>
      <c r="AW340" s="1305"/>
      <c r="AX340"/>
      <c r="AY340"/>
      <c r="AZ340"/>
      <c r="BA340"/>
      <c r="BB340"/>
      <c r="BC340"/>
      <c r="BD340"/>
      <c r="BE340"/>
      <c r="BF340"/>
      <c r="BG340"/>
      <c r="BH340"/>
      <c r="BI340"/>
      <c r="BJ340"/>
      <c r="BK340" s="452" t="str">
        <f>G338</f>
        <v/>
      </c>
    </row>
    <row r="341" spans="1:63" ht="30" customHeight="1" thickBot="1">
      <c r="A341" s="1268"/>
      <c r="B341" s="1411"/>
      <c r="C341" s="1412"/>
      <c r="D341" s="1412"/>
      <c r="E341" s="1412"/>
      <c r="F341" s="1413"/>
      <c r="G341" s="1253"/>
      <c r="H341" s="1253"/>
      <c r="I341" s="1253"/>
      <c r="J341" s="1416"/>
      <c r="K341" s="1253"/>
      <c r="L341" s="1277"/>
      <c r="M341" s="553" t="str">
        <f>IF('別紙様式2-2（４・５月分）'!P259="","",'別紙様式2-2（４・５月分）'!P259)</f>
        <v/>
      </c>
      <c r="N341" s="1394"/>
      <c r="O341" s="1374"/>
      <c r="P341" s="1376"/>
      <c r="Q341" s="1378"/>
      <c r="R341" s="1380"/>
      <c r="S341" s="1382"/>
      <c r="T341" s="1384"/>
      <c r="U341" s="1386"/>
      <c r="V341" s="1388"/>
      <c r="W341" s="1390"/>
      <c r="X341" s="1364"/>
      <c r="Y341" s="1390"/>
      <c r="Z341" s="1364"/>
      <c r="AA341" s="1390"/>
      <c r="AB341" s="1364"/>
      <c r="AC341" s="1390"/>
      <c r="AD341" s="1364"/>
      <c r="AE341" s="1364"/>
      <c r="AF341" s="1364"/>
      <c r="AG341" s="1360"/>
      <c r="AH341" s="1366"/>
      <c r="AI341" s="1368"/>
      <c r="AJ341" s="1370"/>
      <c r="AK341" s="1340"/>
      <c r="AL341" s="1344"/>
      <c r="AM341" s="1314"/>
      <c r="AN341" s="1314"/>
      <c r="AO341" s="1362"/>
      <c r="AP341" s="1314"/>
      <c r="AQ341" s="1318"/>
      <c r="AR341" s="1314"/>
      <c r="AS341" s="490"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4"/>
      <c r="AU341" s="1303"/>
      <c r="AV341" s="555" t="str">
        <f>IF('別紙様式2-2（４・５月分）'!N259="","",'別紙様式2-2（４・５月分）'!N259)</f>
        <v/>
      </c>
      <c r="AW341" s="1305"/>
      <c r="AX341"/>
      <c r="AY341"/>
      <c r="AZ341"/>
      <c r="BA341"/>
      <c r="BB341"/>
      <c r="BC341"/>
      <c r="BD341"/>
      <c r="BE341"/>
      <c r="BF341"/>
      <c r="BG341"/>
      <c r="BH341"/>
      <c r="BI341"/>
      <c r="BJ341"/>
      <c r="BK341" s="452" t="str">
        <f>G338</f>
        <v/>
      </c>
    </row>
    <row r="342" spans="1:63" ht="30" customHeight="1">
      <c r="A342" s="1266">
        <v>83</v>
      </c>
      <c r="B342" s="1232" t="str">
        <f>IF(基本情報入力シート!C136="","",基本情報入力シート!C136)</f>
        <v/>
      </c>
      <c r="C342" s="1233"/>
      <c r="D342" s="1233"/>
      <c r="E342" s="1233"/>
      <c r="F342" s="1234"/>
      <c r="G342" s="1251" t="str">
        <f>IF(基本情報入力シート!M136="","",基本情報入力シート!M136)</f>
        <v/>
      </c>
      <c r="H342" s="1251" t="str">
        <f>IF(基本情報入力シート!R136="","",基本情報入力シート!R136)</f>
        <v/>
      </c>
      <c r="I342" s="1251" t="str">
        <f>IF(基本情報入力シート!W136="","",基本情報入力シート!W136)</f>
        <v/>
      </c>
      <c r="J342" s="1414" t="str">
        <f>IF(基本情報入力シート!X136="","",基本情報入力シート!X136)</f>
        <v/>
      </c>
      <c r="K342" s="1251" t="str">
        <f>IF(基本情報入力シート!Y136="","",基本情報入力シート!Y136)</f>
        <v/>
      </c>
      <c r="L342" s="1275" t="str">
        <f>IF(基本情報入力シート!AB136="","",基本情報入力シート!AB136)</f>
        <v/>
      </c>
      <c r="M342" s="550" t="str">
        <f>IF('別紙様式2-2（４・５月分）'!P260="","",'別紙様式2-2（４・５月分）'!P260)</f>
        <v/>
      </c>
      <c r="N342" s="1391" t="str">
        <f>IF(SUM('別紙様式2-2（４・５月分）'!Q260:Q262)=0,"",SUM('別紙様式2-2（４・５月分）'!Q260:Q262))</f>
        <v/>
      </c>
      <c r="O342" s="1395" t="str">
        <f>IFERROR(VLOOKUP('別紙様式2-2（４・５月分）'!AQ260,【参考】数式用!$AR$5:$AS$22,2,FALSE),"")</f>
        <v/>
      </c>
      <c r="P342" s="1396"/>
      <c r="Q342" s="1397"/>
      <c r="R342" s="1401" t="str">
        <f>IFERROR(VLOOKUP(K342,【参考】数式用!$A$5:$AB$37,MATCH(O342,【参考】数式用!$B$4:$AB$4,0)+1,0),"")</f>
        <v/>
      </c>
      <c r="S342" s="1403" t="s">
        <v>2021</v>
      </c>
      <c r="T342" s="1405"/>
      <c r="U342" s="1407" t="str">
        <f>IFERROR(VLOOKUP(K342,【参考】数式用!$A$5:$AB$37,MATCH(T342,【参考】数式用!$B$4:$AB$4,0)+1,0),"")</f>
        <v/>
      </c>
      <c r="V342" s="1409" t="s">
        <v>15</v>
      </c>
      <c r="W342" s="1347">
        <v>6</v>
      </c>
      <c r="X342" s="1349" t="s">
        <v>10</v>
      </c>
      <c r="Y342" s="1347">
        <v>6</v>
      </c>
      <c r="Z342" s="1349" t="s">
        <v>38</v>
      </c>
      <c r="AA342" s="1347">
        <v>7</v>
      </c>
      <c r="AB342" s="1349" t="s">
        <v>10</v>
      </c>
      <c r="AC342" s="1347">
        <v>3</v>
      </c>
      <c r="AD342" s="1349" t="s">
        <v>13</v>
      </c>
      <c r="AE342" s="1349" t="s">
        <v>20</v>
      </c>
      <c r="AF342" s="1349">
        <f>IF(W342&gt;=1,(AA342*12+AC342)-(W342*12+Y342)+1,"")</f>
        <v>10</v>
      </c>
      <c r="AG342" s="1351" t="s">
        <v>33</v>
      </c>
      <c r="AH342" s="1353" t="str">
        <f t="shared" ref="AH342" si="897">IFERROR(ROUNDDOWN(ROUND(L342*U342,0),0)*AF342,"")</f>
        <v/>
      </c>
      <c r="AI342" s="1355" t="str">
        <f t="shared" ref="AI342" si="898">IFERROR(ROUNDDOWN(ROUND((L342*(U342-AW342)),0),0)*AF342,"")</f>
        <v/>
      </c>
      <c r="AJ342" s="1357">
        <f>IFERROR(IF(OR(M342="",M343="",M345=""),0,ROUNDDOWN(ROUNDDOWN(ROUND(L342*VLOOKUP(K342,【参考】数式用!$A$5:$AB$37,MATCH("新加算Ⅳ",【参考】数式用!$B$4:$AB$4,0)+1,0),0),0)*AF342*0.5,0)),"")</f>
        <v>0</v>
      </c>
      <c r="AK342" s="1341"/>
      <c r="AL342" s="1345">
        <f>IFERROR(IF(OR(M345="ベア加算",M345=""),0, IF(OR(T342="新加算Ⅰ",T342="新加算Ⅱ",T342="新加算Ⅲ",T342="新加算Ⅳ"),ROUNDDOWN(ROUND(L342*VLOOKUP(K342,【参考】数式用!$A$5:$I$37,MATCH("ベア加算",【参考】数式用!$B$4:$I$4,0)+1,0),0),0)*AF342,0)),"")</f>
        <v>0</v>
      </c>
      <c r="AM342" s="1331"/>
      <c r="AN342" s="1337"/>
      <c r="AO342" s="1333"/>
      <c r="AP342" s="1333"/>
      <c r="AQ342" s="1335"/>
      <c r="AR342" s="1315"/>
      <c r="AS342" s="465" t="str">
        <f t="shared" ref="AS342" si="899">IF(AU342="","",IF(U342&lt;N342,"！加算の要件上は問題ありませんが、令和６年４・５月と比較して令和６年６月に加算率が下がる計画になっています。",""))</f>
        <v/>
      </c>
      <c r="AT342" s="554"/>
      <c r="AU342" s="1303" t="str">
        <f>IF(K342&lt;&gt;"","V列に色付け","")</f>
        <v/>
      </c>
      <c r="AV342" s="555" t="str">
        <f>IF('別紙様式2-2（４・５月分）'!N260="","",'別紙様式2-2（４・５月分）'!N260)</f>
        <v/>
      </c>
      <c r="AW342" s="1305" t="str">
        <f>IF(SUM('別紙様式2-2（４・５月分）'!O260:O262)=0,"",SUM('別紙様式2-2（４・５月分）'!O260:O262))</f>
        <v/>
      </c>
      <c r="AX342" s="1306" t="str">
        <f>IFERROR(VLOOKUP(K342,【参考】数式用!$AH$2:$AI$34,2,FALSE),"")</f>
        <v/>
      </c>
      <c r="AY342" s="1222" t="s">
        <v>1959</v>
      </c>
      <c r="AZ342" s="1222" t="s">
        <v>1960</v>
      </c>
      <c r="BA342" s="1222" t="s">
        <v>1961</v>
      </c>
      <c r="BB342" s="1222" t="s">
        <v>1962</v>
      </c>
      <c r="BC342" s="1222" t="str">
        <f>IF(AND(O342&lt;&gt;"新加算Ⅰ",O342&lt;&gt;"新加算Ⅱ",O342&lt;&gt;"新加算Ⅲ",O342&lt;&gt;"新加算Ⅳ"),O342,IF(P344&lt;&gt;"",P344,""))</f>
        <v/>
      </c>
      <c r="BD342" s="1222"/>
      <c r="BE342" s="1222" t="str">
        <f t="shared" ref="BE342" si="900">IF(AL342&lt;&gt;0,IF(AM342="○","入力済","未入力"),"")</f>
        <v/>
      </c>
      <c r="BF342" s="1222"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2" t="str">
        <f>IF(OR(T342="新加算Ⅴ（７）",T342="新加算Ⅴ（９）",T342="新加算Ⅴ（10）",T342="新加算Ⅴ（12）",T342="新加算Ⅴ（13）",T342="新加算Ⅴ（14）"),IF(OR(AO342="○",AO342="令和６年度中に満たす"),"入力済","未入力"),"")</f>
        <v/>
      </c>
      <c r="BH342" s="1323" t="str">
        <f t="shared" ref="BH342" si="901">IF(OR(T342="新加算Ⅰ",T342="新加算Ⅱ",T342="新加算Ⅲ",T342="新加算Ⅴ（１）",T342="新加算Ⅴ（３）",T342="新加算Ⅴ（８）"),IF(OR(AP342="○",AP342="令和６年度中に満たす"),"入力済","未入力"),"")</f>
        <v/>
      </c>
      <c r="BI342" s="1325" t="str">
        <f t="shared" ref="BI342" si="902">IF(OR(T342="新加算Ⅰ",T342="新加算Ⅱ",T342="新加算Ⅴ（１）",T342="新加算Ⅴ（２）",T342="新加算Ⅴ（３）",T342="新加算Ⅴ（４）",T342="新加算Ⅴ（５）",T342="新加算Ⅴ（６）",T342="新加算Ⅴ（７）",T342="新加算Ⅴ（９）",T342="新加算Ⅴ（10）",T342="新加算Ⅴ（12）"),1,"")</f>
        <v/>
      </c>
      <c r="BJ342" s="1303" t="str">
        <f>IF(OR(T342="新加算Ⅰ",T342="新加算Ⅴ（１）",T342="新加算Ⅴ（２）",T342="新加算Ⅴ（５）",T342="新加算Ⅴ（７）",T342="新加算Ⅴ（10）"),IF(AR342="","未入力","入力済"),"")</f>
        <v/>
      </c>
      <c r="BK342" s="452" t="str">
        <f>G342</f>
        <v/>
      </c>
    </row>
    <row r="343" spans="1:63" ht="15" customHeight="1">
      <c r="A343" s="1267"/>
      <c r="B343" s="1235"/>
      <c r="C343" s="1236"/>
      <c r="D343" s="1236"/>
      <c r="E343" s="1236"/>
      <c r="F343" s="1237"/>
      <c r="G343" s="1252"/>
      <c r="H343" s="1252"/>
      <c r="I343" s="1252"/>
      <c r="J343" s="1415"/>
      <c r="K343" s="1252"/>
      <c r="L343" s="1276"/>
      <c r="M343" s="1371" t="str">
        <f>IF('別紙様式2-2（４・５月分）'!P261="","",'別紙様式2-2（４・５月分）'!P261)</f>
        <v/>
      </c>
      <c r="N343" s="1392"/>
      <c r="O343" s="1398"/>
      <c r="P343" s="1399"/>
      <c r="Q343" s="1400"/>
      <c r="R343" s="1402"/>
      <c r="S343" s="1404"/>
      <c r="T343" s="1406"/>
      <c r="U343" s="1408"/>
      <c r="V343" s="1410"/>
      <c r="W343" s="1348"/>
      <c r="X343" s="1350"/>
      <c r="Y343" s="1348"/>
      <c r="Z343" s="1350"/>
      <c r="AA343" s="1348"/>
      <c r="AB343" s="1350"/>
      <c r="AC343" s="1348"/>
      <c r="AD343" s="1350"/>
      <c r="AE343" s="1350"/>
      <c r="AF343" s="1350"/>
      <c r="AG343" s="1352"/>
      <c r="AH343" s="1354"/>
      <c r="AI343" s="1356"/>
      <c r="AJ343" s="1358"/>
      <c r="AK343" s="1342"/>
      <c r="AL343" s="1346"/>
      <c r="AM343" s="1332"/>
      <c r="AN343" s="1338"/>
      <c r="AO343" s="1334"/>
      <c r="AP343" s="1334"/>
      <c r="AQ343" s="1336"/>
      <c r="AR343" s="1316"/>
      <c r="AS343" s="1302"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4"/>
      <c r="AU343" s="1303"/>
      <c r="AV343" s="1304" t="str">
        <f>IF('別紙様式2-2（４・５月分）'!N261="","",'別紙様式2-2（４・５月分）'!N261)</f>
        <v/>
      </c>
      <c r="AW343" s="1305"/>
      <c r="AX343" s="1306"/>
      <c r="AY343" s="1222"/>
      <c r="AZ343" s="1222"/>
      <c r="BA343" s="1222"/>
      <c r="BB343" s="1222"/>
      <c r="BC343" s="1222"/>
      <c r="BD343" s="1222"/>
      <c r="BE343" s="1222"/>
      <c r="BF343" s="1222"/>
      <c r="BG343" s="1222"/>
      <c r="BH343" s="1324"/>
      <c r="BI343" s="1326"/>
      <c r="BJ343" s="1303"/>
      <c r="BK343" s="452" t="str">
        <f>G342</f>
        <v/>
      </c>
    </row>
    <row r="344" spans="1:63" ht="15" customHeight="1">
      <c r="A344" s="1295"/>
      <c r="B344" s="1235"/>
      <c r="C344" s="1236"/>
      <c r="D344" s="1236"/>
      <c r="E344" s="1236"/>
      <c r="F344" s="1237"/>
      <c r="G344" s="1252"/>
      <c r="H344" s="1252"/>
      <c r="I344" s="1252"/>
      <c r="J344" s="1415"/>
      <c r="K344" s="1252"/>
      <c r="L344" s="1276"/>
      <c r="M344" s="1372"/>
      <c r="N344" s="1393"/>
      <c r="O344" s="1373" t="s">
        <v>2025</v>
      </c>
      <c r="P344" s="1375" t="str">
        <f>IFERROR(VLOOKUP('別紙様式2-2（４・５月分）'!AQ260,【参考】数式用!$AR$5:$AT$22,3,FALSE),"")</f>
        <v/>
      </c>
      <c r="Q344" s="1377" t="s">
        <v>2036</v>
      </c>
      <c r="R344" s="1379" t="str">
        <f>IFERROR(VLOOKUP(K342,【参考】数式用!$A$5:$AB$37,MATCH(P344,【参考】数式用!$B$4:$AB$4,0)+1,0),"")</f>
        <v/>
      </c>
      <c r="S344" s="1381" t="s">
        <v>161</v>
      </c>
      <c r="T344" s="1383"/>
      <c r="U344" s="1385" t="str">
        <f>IFERROR(VLOOKUP(K342,【参考】数式用!$A$5:$AB$37,MATCH(T344,【参考】数式用!$B$4:$AB$4,0)+1,0),"")</f>
        <v/>
      </c>
      <c r="V344" s="1387" t="s">
        <v>15</v>
      </c>
      <c r="W344" s="1389">
        <v>7</v>
      </c>
      <c r="X344" s="1363" t="s">
        <v>10</v>
      </c>
      <c r="Y344" s="1389">
        <v>4</v>
      </c>
      <c r="Z344" s="1363" t="s">
        <v>38</v>
      </c>
      <c r="AA344" s="1389">
        <v>8</v>
      </c>
      <c r="AB344" s="1363" t="s">
        <v>10</v>
      </c>
      <c r="AC344" s="1389">
        <v>3</v>
      </c>
      <c r="AD344" s="1363" t="s">
        <v>13</v>
      </c>
      <c r="AE344" s="1363" t="s">
        <v>20</v>
      </c>
      <c r="AF344" s="1363">
        <f>IF(W344&gt;=1,(AA344*12+AC344)-(W344*12+Y344)+1,"")</f>
        <v>12</v>
      </c>
      <c r="AG344" s="1359" t="s">
        <v>33</v>
      </c>
      <c r="AH344" s="1365" t="str">
        <f t="shared" ref="AH344" si="904">IFERROR(ROUNDDOWN(ROUND(L342*U344,0),0)*AF344,"")</f>
        <v/>
      </c>
      <c r="AI344" s="1367" t="str">
        <f t="shared" ref="AI344" si="905">IFERROR(ROUNDDOWN(ROUND((L342*(U344-AW342)),0),0)*AF344,"")</f>
        <v/>
      </c>
      <c r="AJ344" s="1369">
        <f>IFERROR(IF(OR(M342="",M343="",M345=""),0,ROUNDDOWN(ROUNDDOWN(ROUND(L342*VLOOKUP(K342,【参考】数式用!$A$5:$AB$37,MATCH("新加算Ⅳ",【参考】数式用!$B$4:$AB$4,0)+1,0),0),0)*AF344*0.5,0)),"")</f>
        <v>0</v>
      </c>
      <c r="AK344" s="1339" t="str">
        <f t="shared" ref="AK344" si="906">IF(T344&lt;&gt;"","新規に適用","")</f>
        <v/>
      </c>
      <c r="AL344" s="1343">
        <f>IFERROR(IF(OR(M345="ベア加算",M345=""),0, IF(OR(T342="新加算Ⅰ",T342="新加算Ⅱ",T342="新加算Ⅲ",T342="新加算Ⅳ"),0,ROUNDDOWN(ROUND(L342*VLOOKUP(K342,【参考】数式用!$A$5:$I$37,MATCH("ベア加算",【参考】数式用!$B$4:$I$4,0)+1,0),0),0)*AF344)),"")</f>
        <v>0</v>
      </c>
      <c r="AM344" s="1313" t="str">
        <f>IF(AND(T344&lt;&gt;"",AM342=""),"新規に適用",IF(AND(T344&lt;&gt;"",AM342&lt;&gt;""),"継続で適用",""))</f>
        <v/>
      </c>
      <c r="AN344" s="1313" t="str">
        <f>IF(AND(T344&lt;&gt;"",AN342=""),"新規に適用",IF(AND(T344&lt;&gt;"",AN342&lt;&gt;""),"継続で適用",""))</f>
        <v/>
      </c>
      <c r="AO344" s="1361"/>
      <c r="AP344" s="1313" t="str">
        <f>IF(AND(T344&lt;&gt;"",AP342=""),"新規に適用",IF(AND(T344&lt;&gt;"",AP342&lt;&gt;""),"継続で適用",""))</f>
        <v/>
      </c>
      <c r="AQ344" s="1317" t="str">
        <f t="shared" si="774"/>
        <v/>
      </c>
      <c r="AR344" s="1313" t="str">
        <f>IF(AND(T344&lt;&gt;"",AR342=""),"新規に適用",IF(AND(T344&lt;&gt;"",AR342&lt;&gt;""),"継続で適用",""))</f>
        <v/>
      </c>
      <c r="AS344" s="1302"/>
      <c r="AT344" s="554"/>
      <c r="AU344" s="1303" t="str">
        <f>IF(K342&lt;&gt;"","V列に色付け","")</f>
        <v/>
      </c>
      <c r="AV344" s="1304"/>
      <c r="AW344" s="1305"/>
      <c r="AX344"/>
      <c r="AY344"/>
      <c r="AZ344"/>
      <c r="BA344"/>
      <c r="BB344"/>
      <c r="BC344"/>
      <c r="BD344"/>
      <c r="BE344"/>
      <c r="BF344"/>
      <c r="BG344"/>
      <c r="BH344"/>
      <c r="BI344"/>
      <c r="BJ344"/>
      <c r="BK344" s="452" t="str">
        <f>G342</f>
        <v/>
      </c>
    </row>
    <row r="345" spans="1:63" ht="30" customHeight="1" thickBot="1">
      <c r="A345" s="1268"/>
      <c r="B345" s="1411"/>
      <c r="C345" s="1412"/>
      <c r="D345" s="1412"/>
      <c r="E345" s="1412"/>
      <c r="F345" s="1413"/>
      <c r="G345" s="1253"/>
      <c r="H345" s="1253"/>
      <c r="I345" s="1253"/>
      <c r="J345" s="1416"/>
      <c r="K345" s="1253"/>
      <c r="L345" s="1277"/>
      <c r="M345" s="553" t="str">
        <f>IF('別紙様式2-2（４・５月分）'!P262="","",'別紙様式2-2（４・５月分）'!P262)</f>
        <v/>
      </c>
      <c r="N345" s="1394"/>
      <c r="O345" s="1374"/>
      <c r="P345" s="1376"/>
      <c r="Q345" s="1378"/>
      <c r="R345" s="1380"/>
      <c r="S345" s="1382"/>
      <c r="T345" s="1384"/>
      <c r="U345" s="1386"/>
      <c r="V345" s="1388"/>
      <c r="W345" s="1390"/>
      <c r="X345" s="1364"/>
      <c r="Y345" s="1390"/>
      <c r="Z345" s="1364"/>
      <c r="AA345" s="1390"/>
      <c r="AB345" s="1364"/>
      <c r="AC345" s="1390"/>
      <c r="AD345" s="1364"/>
      <c r="AE345" s="1364"/>
      <c r="AF345" s="1364"/>
      <c r="AG345" s="1360"/>
      <c r="AH345" s="1366"/>
      <c r="AI345" s="1368"/>
      <c r="AJ345" s="1370"/>
      <c r="AK345" s="1340"/>
      <c r="AL345" s="1344"/>
      <c r="AM345" s="1314"/>
      <c r="AN345" s="1314"/>
      <c r="AO345" s="1362"/>
      <c r="AP345" s="1314"/>
      <c r="AQ345" s="1318"/>
      <c r="AR345" s="1314"/>
      <c r="AS345" s="490"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4"/>
      <c r="AU345" s="1303"/>
      <c r="AV345" s="555" t="str">
        <f>IF('別紙様式2-2（４・５月分）'!N262="","",'別紙様式2-2（４・５月分）'!N262)</f>
        <v/>
      </c>
      <c r="AW345" s="1305"/>
      <c r="AX345"/>
      <c r="AY345"/>
      <c r="AZ345"/>
      <c r="BA345"/>
      <c r="BB345"/>
      <c r="BC345"/>
      <c r="BD345"/>
      <c r="BE345"/>
      <c r="BF345"/>
      <c r="BG345"/>
      <c r="BH345"/>
      <c r="BI345"/>
      <c r="BJ345"/>
      <c r="BK345" s="452" t="str">
        <f>G342</f>
        <v/>
      </c>
    </row>
    <row r="346" spans="1:63" ht="30" customHeight="1">
      <c r="A346" s="1293">
        <v>84</v>
      </c>
      <c r="B346" s="1235" t="str">
        <f>IF(基本情報入力シート!C137="","",基本情報入力シート!C137)</f>
        <v/>
      </c>
      <c r="C346" s="1236"/>
      <c r="D346" s="1236"/>
      <c r="E346" s="1236"/>
      <c r="F346" s="1237"/>
      <c r="G346" s="1252" t="str">
        <f>IF(基本情報入力シート!M137="","",基本情報入力シート!M137)</f>
        <v/>
      </c>
      <c r="H346" s="1252" t="str">
        <f>IF(基本情報入力シート!R137="","",基本情報入力シート!R137)</f>
        <v/>
      </c>
      <c r="I346" s="1252" t="str">
        <f>IF(基本情報入力シート!W137="","",基本情報入力シート!W137)</f>
        <v/>
      </c>
      <c r="J346" s="1415" t="str">
        <f>IF(基本情報入力シート!X137="","",基本情報入力シート!X137)</f>
        <v/>
      </c>
      <c r="K346" s="1252" t="str">
        <f>IF(基本情報入力シート!Y137="","",基本情報入力シート!Y137)</f>
        <v/>
      </c>
      <c r="L346" s="1276" t="str">
        <f>IF(基本情報入力シート!AB137="","",基本情報入力シート!AB137)</f>
        <v/>
      </c>
      <c r="M346" s="550" t="str">
        <f>IF('別紙様式2-2（４・５月分）'!P263="","",'別紙様式2-2（４・５月分）'!P263)</f>
        <v/>
      </c>
      <c r="N346" s="1391" t="str">
        <f>IF(SUM('別紙様式2-2（４・５月分）'!Q263:Q265)=0,"",SUM('別紙様式2-2（４・５月分）'!Q263:Q265))</f>
        <v/>
      </c>
      <c r="O346" s="1395" t="str">
        <f>IFERROR(VLOOKUP('別紙様式2-2（４・５月分）'!AQ263,【参考】数式用!$AR$5:$AS$22,2,FALSE),"")</f>
        <v/>
      </c>
      <c r="P346" s="1396"/>
      <c r="Q346" s="1397"/>
      <c r="R346" s="1401" t="str">
        <f>IFERROR(VLOOKUP(K346,【参考】数式用!$A$5:$AB$37,MATCH(O346,【参考】数式用!$B$4:$AB$4,0)+1,0),"")</f>
        <v/>
      </c>
      <c r="S346" s="1403" t="s">
        <v>2021</v>
      </c>
      <c r="T346" s="1405"/>
      <c r="U346" s="1407" t="str">
        <f>IFERROR(VLOOKUP(K346,【参考】数式用!$A$5:$AB$37,MATCH(T346,【参考】数式用!$B$4:$AB$4,0)+1,0),"")</f>
        <v/>
      </c>
      <c r="V346" s="1409" t="s">
        <v>15</v>
      </c>
      <c r="W346" s="1347">
        <v>6</v>
      </c>
      <c r="X346" s="1349" t="s">
        <v>10</v>
      </c>
      <c r="Y346" s="1347">
        <v>6</v>
      </c>
      <c r="Z346" s="1349" t="s">
        <v>38</v>
      </c>
      <c r="AA346" s="1347">
        <v>7</v>
      </c>
      <c r="AB346" s="1349" t="s">
        <v>10</v>
      </c>
      <c r="AC346" s="1347">
        <v>3</v>
      </c>
      <c r="AD346" s="1349" t="s">
        <v>13</v>
      </c>
      <c r="AE346" s="1349" t="s">
        <v>20</v>
      </c>
      <c r="AF346" s="1349">
        <f>IF(W346&gt;=1,(AA346*12+AC346)-(W346*12+Y346)+1,"")</f>
        <v>10</v>
      </c>
      <c r="AG346" s="1351" t="s">
        <v>33</v>
      </c>
      <c r="AH346" s="1353" t="str">
        <f t="shared" ref="AH346" si="908">IFERROR(ROUNDDOWN(ROUND(L346*U346,0),0)*AF346,"")</f>
        <v/>
      </c>
      <c r="AI346" s="1355" t="str">
        <f t="shared" ref="AI346" si="909">IFERROR(ROUNDDOWN(ROUND((L346*(U346-AW346)),0),0)*AF346,"")</f>
        <v/>
      </c>
      <c r="AJ346" s="1357">
        <f>IFERROR(IF(OR(M346="",M347="",M349=""),0,ROUNDDOWN(ROUNDDOWN(ROUND(L346*VLOOKUP(K346,【参考】数式用!$A$5:$AB$37,MATCH("新加算Ⅳ",【参考】数式用!$B$4:$AB$4,0)+1,0),0),0)*AF346*0.5,0)),"")</f>
        <v>0</v>
      </c>
      <c r="AK346" s="1341"/>
      <c r="AL346" s="1345">
        <f>IFERROR(IF(OR(M349="ベア加算",M349=""),0, IF(OR(T346="新加算Ⅰ",T346="新加算Ⅱ",T346="新加算Ⅲ",T346="新加算Ⅳ"),ROUNDDOWN(ROUND(L346*VLOOKUP(K346,【参考】数式用!$A$5:$I$37,MATCH("ベア加算",【参考】数式用!$B$4:$I$4,0)+1,0),0),0)*AF346,0)),"")</f>
        <v>0</v>
      </c>
      <c r="AM346" s="1331"/>
      <c r="AN346" s="1337"/>
      <c r="AO346" s="1333"/>
      <c r="AP346" s="1333"/>
      <c r="AQ346" s="1335"/>
      <c r="AR346" s="1315"/>
      <c r="AS346" s="465" t="str">
        <f t="shared" ref="AS346" si="910">IF(AU346="","",IF(U346&lt;N346,"！加算の要件上は問題ありませんが、令和６年４・５月と比較して令和６年６月に加算率が下がる計画になっています。",""))</f>
        <v/>
      </c>
      <c r="AT346" s="554"/>
      <c r="AU346" s="1303" t="str">
        <f>IF(K346&lt;&gt;"","V列に色付け","")</f>
        <v/>
      </c>
      <c r="AV346" s="555" t="str">
        <f>IF('別紙様式2-2（４・５月分）'!N263="","",'別紙様式2-2（４・５月分）'!N263)</f>
        <v/>
      </c>
      <c r="AW346" s="1305" t="str">
        <f>IF(SUM('別紙様式2-2（４・５月分）'!O263:O265)=0,"",SUM('別紙様式2-2（４・５月分）'!O263:O265))</f>
        <v/>
      </c>
      <c r="AX346" s="1306" t="str">
        <f>IFERROR(VLOOKUP(K346,【参考】数式用!$AH$2:$AI$34,2,FALSE),"")</f>
        <v/>
      </c>
      <c r="AY346" s="1222" t="s">
        <v>1959</v>
      </c>
      <c r="AZ346" s="1222" t="s">
        <v>1960</v>
      </c>
      <c r="BA346" s="1222" t="s">
        <v>1961</v>
      </c>
      <c r="BB346" s="1222" t="s">
        <v>1962</v>
      </c>
      <c r="BC346" s="1222" t="str">
        <f>IF(AND(O346&lt;&gt;"新加算Ⅰ",O346&lt;&gt;"新加算Ⅱ",O346&lt;&gt;"新加算Ⅲ",O346&lt;&gt;"新加算Ⅳ"),O346,IF(P348&lt;&gt;"",P348,""))</f>
        <v/>
      </c>
      <c r="BD346" s="1222"/>
      <c r="BE346" s="1222" t="str">
        <f t="shared" ref="BE346" si="911">IF(AL346&lt;&gt;0,IF(AM346="○","入力済","未入力"),"")</f>
        <v/>
      </c>
      <c r="BF346" s="1222"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2" t="str">
        <f>IF(OR(T346="新加算Ⅴ（７）",T346="新加算Ⅴ（９）",T346="新加算Ⅴ（10）",T346="新加算Ⅴ（12）",T346="新加算Ⅴ（13）",T346="新加算Ⅴ（14）"),IF(OR(AO346="○",AO346="令和６年度中に満たす"),"入力済","未入力"),"")</f>
        <v/>
      </c>
      <c r="BH346" s="1323" t="str">
        <f t="shared" ref="BH346" si="912">IF(OR(T346="新加算Ⅰ",T346="新加算Ⅱ",T346="新加算Ⅲ",T346="新加算Ⅴ（１）",T346="新加算Ⅴ（３）",T346="新加算Ⅴ（８）"),IF(OR(AP346="○",AP346="令和６年度中に満たす"),"入力済","未入力"),"")</f>
        <v/>
      </c>
      <c r="BI346" s="1325" t="str">
        <f t="shared" ref="BI346" si="913">IF(OR(T346="新加算Ⅰ",T346="新加算Ⅱ",T346="新加算Ⅴ（１）",T346="新加算Ⅴ（２）",T346="新加算Ⅴ（３）",T346="新加算Ⅴ（４）",T346="新加算Ⅴ（５）",T346="新加算Ⅴ（６）",T346="新加算Ⅴ（７）",T346="新加算Ⅴ（９）",T346="新加算Ⅴ（10）",T346="新加算Ⅴ（12）"),1,"")</f>
        <v/>
      </c>
      <c r="BJ346" s="1303" t="str">
        <f>IF(OR(T346="新加算Ⅰ",T346="新加算Ⅴ（１）",T346="新加算Ⅴ（２）",T346="新加算Ⅴ（５）",T346="新加算Ⅴ（７）",T346="新加算Ⅴ（10）"),IF(AR346="","未入力","入力済"),"")</f>
        <v/>
      </c>
      <c r="BK346" s="452" t="str">
        <f>G346</f>
        <v/>
      </c>
    </row>
    <row r="347" spans="1:63" ht="15" customHeight="1">
      <c r="A347" s="1267"/>
      <c r="B347" s="1235"/>
      <c r="C347" s="1236"/>
      <c r="D347" s="1236"/>
      <c r="E347" s="1236"/>
      <c r="F347" s="1237"/>
      <c r="G347" s="1252"/>
      <c r="H347" s="1252"/>
      <c r="I347" s="1252"/>
      <c r="J347" s="1415"/>
      <c r="K347" s="1252"/>
      <c r="L347" s="1276"/>
      <c r="M347" s="1371" t="str">
        <f>IF('別紙様式2-2（４・５月分）'!P264="","",'別紙様式2-2（４・５月分）'!P264)</f>
        <v/>
      </c>
      <c r="N347" s="1392"/>
      <c r="O347" s="1398"/>
      <c r="P347" s="1399"/>
      <c r="Q347" s="1400"/>
      <c r="R347" s="1402"/>
      <c r="S347" s="1404"/>
      <c r="T347" s="1406"/>
      <c r="U347" s="1408"/>
      <c r="V347" s="1410"/>
      <c r="W347" s="1348"/>
      <c r="X347" s="1350"/>
      <c r="Y347" s="1348"/>
      <c r="Z347" s="1350"/>
      <c r="AA347" s="1348"/>
      <c r="AB347" s="1350"/>
      <c r="AC347" s="1348"/>
      <c r="AD347" s="1350"/>
      <c r="AE347" s="1350"/>
      <c r="AF347" s="1350"/>
      <c r="AG347" s="1352"/>
      <c r="AH347" s="1354"/>
      <c r="AI347" s="1356"/>
      <c r="AJ347" s="1358"/>
      <c r="AK347" s="1342"/>
      <c r="AL347" s="1346"/>
      <c r="AM347" s="1332"/>
      <c r="AN347" s="1338"/>
      <c r="AO347" s="1334"/>
      <c r="AP347" s="1334"/>
      <c r="AQ347" s="1336"/>
      <c r="AR347" s="1316"/>
      <c r="AS347" s="1302"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4"/>
      <c r="AU347" s="1303"/>
      <c r="AV347" s="1304" t="str">
        <f>IF('別紙様式2-2（４・５月分）'!N264="","",'別紙様式2-2（４・５月分）'!N264)</f>
        <v/>
      </c>
      <c r="AW347" s="1305"/>
      <c r="AX347" s="1306"/>
      <c r="AY347" s="1222"/>
      <c r="AZ347" s="1222"/>
      <c r="BA347" s="1222"/>
      <c r="BB347" s="1222"/>
      <c r="BC347" s="1222"/>
      <c r="BD347" s="1222"/>
      <c r="BE347" s="1222"/>
      <c r="BF347" s="1222"/>
      <c r="BG347" s="1222"/>
      <c r="BH347" s="1324"/>
      <c r="BI347" s="1326"/>
      <c r="BJ347" s="1303"/>
      <c r="BK347" s="452" t="str">
        <f>G346</f>
        <v/>
      </c>
    </row>
    <row r="348" spans="1:63" ht="15" customHeight="1">
      <c r="A348" s="1295"/>
      <c r="B348" s="1235"/>
      <c r="C348" s="1236"/>
      <c r="D348" s="1236"/>
      <c r="E348" s="1236"/>
      <c r="F348" s="1237"/>
      <c r="G348" s="1252"/>
      <c r="H348" s="1252"/>
      <c r="I348" s="1252"/>
      <c r="J348" s="1415"/>
      <c r="K348" s="1252"/>
      <c r="L348" s="1276"/>
      <c r="M348" s="1372"/>
      <c r="N348" s="1393"/>
      <c r="O348" s="1373" t="s">
        <v>2025</v>
      </c>
      <c r="P348" s="1375" t="str">
        <f>IFERROR(VLOOKUP('別紙様式2-2（４・５月分）'!AQ263,【参考】数式用!$AR$5:$AT$22,3,FALSE),"")</f>
        <v/>
      </c>
      <c r="Q348" s="1377" t="s">
        <v>2036</v>
      </c>
      <c r="R348" s="1379" t="str">
        <f>IFERROR(VLOOKUP(K346,【参考】数式用!$A$5:$AB$37,MATCH(P348,【参考】数式用!$B$4:$AB$4,0)+1,0),"")</f>
        <v/>
      </c>
      <c r="S348" s="1381" t="s">
        <v>161</v>
      </c>
      <c r="T348" s="1383"/>
      <c r="U348" s="1385" t="str">
        <f>IFERROR(VLOOKUP(K346,【参考】数式用!$A$5:$AB$37,MATCH(T348,【参考】数式用!$B$4:$AB$4,0)+1,0),"")</f>
        <v/>
      </c>
      <c r="V348" s="1387" t="s">
        <v>15</v>
      </c>
      <c r="W348" s="1389">
        <v>7</v>
      </c>
      <c r="X348" s="1363" t="s">
        <v>10</v>
      </c>
      <c r="Y348" s="1389">
        <v>4</v>
      </c>
      <c r="Z348" s="1363" t="s">
        <v>38</v>
      </c>
      <c r="AA348" s="1389">
        <v>8</v>
      </c>
      <c r="AB348" s="1363" t="s">
        <v>10</v>
      </c>
      <c r="AC348" s="1389">
        <v>3</v>
      </c>
      <c r="AD348" s="1363" t="s">
        <v>13</v>
      </c>
      <c r="AE348" s="1363" t="s">
        <v>20</v>
      </c>
      <c r="AF348" s="1363">
        <f>IF(W348&gt;=1,(AA348*12+AC348)-(W348*12+Y348)+1,"")</f>
        <v>12</v>
      </c>
      <c r="AG348" s="1359" t="s">
        <v>33</v>
      </c>
      <c r="AH348" s="1365" t="str">
        <f t="shared" ref="AH348" si="915">IFERROR(ROUNDDOWN(ROUND(L346*U348,0),0)*AF348,"")</f>
        <v/>
      </c>
      <c r="AI348" s="1367" t="str">
        <f t="shared" ref="AI348" si="916">IFERROR(ROUNDDOWN(ROUND((L346*(U348-AW346)),0),0)*AF348,"")</f>
        <v/>
      </c>
      <c r="AJ348" s="1369">
        <f>IFERROR(IF(OR(M346="",M347="",M349=""),0,ROUNDDOWN(ROUNDDOWN(ROUND(L346*VLOOKUP(K346,【参考】数式用!$A$5:$AB$37,MATCH("新加算Ⅳ",【参考】数式用!$B$4:$AB$4,0)+1,0),0),0)*AF348*0.5,0)),"")</f>
        <v>0</v>
      </c>
      <c r="AK348" s="1339" t="str">
        <f t="shared" ref="AK348" si="917">IF(T348&lt;&gt;"","新規に適用","")</f>
        <v/>
      </c>
      <c r="AL348" s="1343">
        <f>IFERROR(IF(OR(M349="ベア加算",M349=""),0, IF(OR(T346="新加算Ⅰ",T346="新加算Ⅱ",T346="新加算Ⅲ",T346="新加算Ⅳ"),0,ROUNDDOWN(ROUND(L346*VLOOKUP(K346,【参考】数式用!$A$5:$I$37,MATCH("ベア加算",【参考】数式用!$B$4:$I$4,0)+1,0),0),0)*AF348)),"")</f>
        <v>0</v>
      </c>
      <c r="AM348" s="1313" t="str">
        <f>IF(AND(T348&lt;&gt;"",AM346=""),"新規に適用",IF(AND(T348&lt;&gt;"",AM346&lt;&gt;""),"継続で適用",""))</f>
        <v/>
      </c>
      <c r="AN348" s="1313" t="str">
        <f>IF(AND(T348&lt;&gt;"",AN346=""),"新規に適用",IF(AND(T348&lt;&gt;"",AN346&lt;&gt;""),"継続で適用",""))</f>
        <v/>
      </c>
      <c r="AO348" s="1361"/>
      <c r="AP348" s="1313" t="str">
        <f>IF(AND(T348&lt;&gt;"",AP346=""),"新規に適用",IF(AND(T348&lt;&gt;"",AP346&lt;&gt;""),"継続で適用",""))</f>
        <v/>
      </c>
      <c r="AQ348" s="1317" t="str">
        <f t="shared" si="774"/>
        <v/>
      </c>
      <c r="AR348" s="1313" t="str">
        <f>IF(AND(T348&lt;&gt;"",AR346=""),"新規に適用",IF(AND(T348&lt;&gt;"",AR346&lt;&gt;""),"継続で適用",""))</f>
        <v/>
      </c>
      <c r="AS348" s="1302"/>
      <c r="AT348" s="554"/>
      <c r="AU348" s="1303" t="str">
        <f>IF(K346&lt;&gt;"","V列に色付け","")</f>
        <v/>
      </c>
      <c r="AV348" s="1304"/>
      <c r="AW348" s="1305"/>
      <c r="AX348"/>
      <c r="AY348"/>
      <c r="AZ348"/>
      <c r="BA348"/>
      <c r="BB348"/>
      <c r="BC348"/>
      <c r="BD348"/>
      <c r="BE348"/>
      <c r="BF348"/>
      <c r="BG348"/>
      <c r="BH348"/>
      <c r="BI348"/>
      <c r="BJ348"/>
      <c r="BK348" s="452" t="str">
        <f>G346</f>
        <v/>
      </c>
    </row>
    <row r="349" spans="1:63" ht="30" customHeight="1" thickBot="1">
      <c r="A349" s="1268"/>
      <c r="B349" s="1411"/>
      <c r="C349" s="1412"/>
      <c r="D349" s="1412"/>
      <c r="E349" s="1412"/>
      <c r="F349" s="1413"/>
      <c r="G349" s="1253"/>
      <c r="H349" s="1253"/>
      <c r="I349" s="1253"/>
      <c r="J349" s="1416"/>
      <c r="K349" s="1253"/>
      <c r="L349" s="1277"/>
      <c r="M349" s="553" t="str">
        <f>IF('別紙様式2-2（４・５月分）'!P265="","",'別紙様式2-2（４・５月分）'!P265)</f>
        <v/>
      </c>
      <c r="N349" s="1394"/>
      <c r="O349" s="1374"/>
      <c r="P349" s="1376"/>
      <c r="Q349" s="1378"/>
      <c r="R349" s="1380"/>
      <c r="S349" s="1382"/>
      <c r="T349" s="1384"/>
      <c r="U349" s="1386"/>
      <c r="V349" s="1388"/>
      <c r="W349" s="1390"/>
      <c r="X349" s="1364"/>
      <c r="Y349" s="1390"/>
      <c r="Z349" s="1364"/>
      <c r="AA349" s="1390"/>
      <c r="AB349" s="1364"/>
      <c r="AC349" s="1390"/>
      <c r="AD349" s="1364"/>
      <c r="AE349" s="1364"/>
      <c r="AF349" s="1364"/>
      <c r="AG349" s="1360"/>
      <c r="AH349" s="1366"/>
      <c r="AI349" s="1368"/>
      <c r="AJ349" s="1370"/>
      <c r="AK349" s="1340"/>
      <c r="AL349" s="1344"/>
      <c r="AM349" s="1314"/>
      <c r="AN349" s="1314"/>
      <c r="AO349" s="1362"/>
      <c r="AP349" s="1314"/>
      <c r="AQ349" s="1318"/>
      <c r="AR349" s="1314"/>
      <c r="AS349" s="490"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4"/>
      <c r="AU349" s="1303"/>
      <c r="AV349" s="555" t="str">
        <f>IF('別紙様式2-2（４・５月分）'!N265="","",'別紙様式2-2（４・５月分）'!N265)</f>
        <v/>
      </c>
      <c r="AW349" s="1305"/>
      <c r="AX349"/>
      <c r="AY349"/>
      <c r="AZ349"/>
      <c r="BA349"/>
      <c r="BB349"/>
      <c r="BC349"/>
      <c r="BD349"/>
      <c r="BE349"/>
      <c r="BF349"/>
      <c r="BG349"/>
      <c r="BH349"/>
      <c r="BI349"/>
      <c r="BJ349"/>
      <c r="BK349" s="452" t="str">
        <f>G346</f>
        <v/>
      </c>
    </row>
    <row r="350" spans="1:63" ht="30" customHeight="1">
      <c r="A350" s="1266">
        <v>85</v>
      </c>
      <c r="B350" s="1232" t="str">
        <f>IF(基本情報入力シート!C138="","",基本情報入力シート!C138)</f>
        <v/>
      </c>
      <c r="C350" s="1233"/>
      <c r="D350" s="1233"/>
      <c r="E350" s="1233"/>
      <c r="F350" s="1234"/>
      <c r="G350" s="1251" t="str">
        <f>IF(基本情報入力シート!M138="","",基本情報入力シート!M138)</f>
        <v/>
      </c>
      <c r="H350" s="1251" t="str">
        <f>IF(基本情報入力シート!R138="","",基本情報入力シート!R138)</f>
        <v/>
      </c>
      <c r="I350" s="1251" t="str">
        <f>IF(基本情報入力シート!W138="","",基本情報入力シート!W138)</f>
        <v/>
      </c>
      <c r="J350" s="1414" t="str">
        <f>IF(基本情報入力シート!X138="","",基本情報入力シート!X138)</f>
        <v/>
      </c>
      <c r="K350" s="1251" t="str">
        <f>IF(基本情報入力シート!Y138="","",基本情報入力シート!Y138)</f>
        <v/>
      </c>
      <c r="L350" s="1275" t="str">
        <f>IF(基本情報入力シート!AB138="","",基本情報入力シート!AB138)</f>
        <v/>
      </c>
      <c r="M350" s="550" t="str">
        <f>IF('別紙様式2-2（４・５月分）'!P266="","",'別紙様式2-2（４・５月分）'!P266)</f>
        <v/>
      </c>
      <c r="N350" s="1391" t="str">
        <f>IF(SUM('別紙様式2-2（４・５月分）'!Q266:Q268)=0,"",SUM('別紙様式2-2（４・５月分）'!Q266:Q268))</f>
        <v/>
      </c>
      <c r="O350" s="1395" t="str">
        <f>IFERROR(VLOOKUP('別紙様式2-2（４・５月分）'!AQ266,【参考】数式用!$AR$5:$AS$22,2,FALSE),"")</f>
        <v/>
      </c>
      <c r="P350" s="1396"/>
      <c r="Q350" s="1397"/>
      <c r="R350" s="1401" t="str">
        <f>IFERROR(VLOOKUP(K350,【参考】数式用!$A$5:$AB$37,MATCH(O350,【参考】数式用!$B$4:$AB$4,0)+1,0),"")</f>
        <v/>
      </c>
      <c r="S350" s="1403" t="s">
        <v>2021</v>
      </c>
      <c r="T350" s="1405"/>
      <c r="U350" s="1407" t="str">
        <f>IFERROR(VLOOKUP(K350,【参考】数式用!$A$5:$AB$37,MATCH(T350,【参考】数式用!$B$4:$AB$4,0)+1,0),"")</f>
        <v/>
      </c>
      <c r="V350" s="1409" t="s">
        <v>15</v>
      </c>
      <c r="W350" s="1347">
        <v>6</v>
      </c>
      <c r="X350" s="1349" t="s">
        <v>10</v>
      </c>
      <c r="Y350" s="1347">
        <v>6</v>
      </c>
      <c r="Z350" s="1349" t="s">
        <v>38</v>
      </c>
      <c r="AA350" s="1347">
        <v>7</v>
      </c>
      <c r="AB350" s="1349" t="s">
        <v>10</v>
      </c>
      <c r="AC350" s="1347">
        <v>3</v>
      </c>
      <c r="AD350" s="1349" t="s">
        <v>13</v>
      </c>
      <c r="AE350" s="1349" t="s">
        <v>20</v>
      </c>
      <c r="AF350" s="1349">
        <f>IF(W350&gt;=1,(AA350*12+AC350)-(W350*12+Y350)+1,"")</f>
        <v>10</v>
      </c>
      <c r="AG350" s="1351" t="s">
        <v>33</v>
      </c>
      <c r="AH350" s="1353" t="str">
        <f t="shared" ref="AH350" si="919">IFERROR(ROUNDDOWN(ROUND(L350*U350,0),0)*AF350,"")</f>
        <v/>
      </c>
      <c r="AI350" s="1355" t="str">
        <f t="shared" ref="AI350" si="920">IFERROR(ROUNDDOWN(ROUND((L350*(U350-AW350)),0),0)*AF350,"")</f>
        <v/>
      </c>
      <c r="AJ350" s="1357">
        <f>IFERROR(IF(OR(M350="",M351="",M353=""),0,ROUNDDOWN(ROUNDDOWN(ROUND(L350*VLOOKUP(K350,【参考】数式用!$A$5:$AB$37,MATCH("新加算Ⅳ",【参考】数式用!$B$4:$AB$4,0)+1,0),0),0)*AF350*0.5,0)),"")</f>
        <v>0</v>
      </c>
      <c r="AK350" s="1341"/>
      <c r="AL350" s="1345">
        <f>IFERROR(IF(OR(M353="ベア加算",M353=""),0, IF(OR(T350="新加算Ⅰ",T350="新加算Ⅱ",T350="新加算Ⅲ",T350="新加算Ⅳ"),ROUNDDOWN(ROUND(L350*VLOOKUP(K350,【参考】数式用!$A$5:$I$37,MATCH("ベア加算",【参考】数式用!$B$4:$I$4,0)+1,0),0),0)*AF350,0)),"")</f>
        <v>0</v>
      </c>
      <c r="AM350" s="1331"/>
      <c r="AN350" s="1337"/>
      <c r="AO350" s="1333"/>
      <c r="AP350" s="1333"/>
      <c r="AQ350" s="1335"/>
      <c r="AR350" s="1315"/>
      <c r="AS350" s="465" t="str">
        <f t="shared" ref="AS350" si="921">IF(AU350="","",IF(U350&lt;N350,"！加算の要件上は問題ありませんが、令和６年４・５月と比較して令和６年６月に加算率が下がる計画になっています。",""))</f>
        <v/>
      </c>
      <c r="AT350" s="554"/>
      <c r="AU350" s="1303" t="str">
        <f>IF(K350&lt;&gt;"","V列に色付け","")</f>
        <v/>
      </c>
      <c r="AV350" s="555" t="str">
        <f>IF('別紙様式2-2（４・５月分）'!N266="","",'別紙様式2-2（４・５月分）'!N266)</f>
        <v/>
      </c>
      <c r="AW350" s="1305" t="str">
        <f>IF(SUM('別紙様式2-2（４・５月分）'!O266:O268)=0,"",SUM('別紙様式2-2（４・５月分）'!O266:O268))</f>
        <v/>
      </c>
      <c r="AX350" s="1306" t="str">
        <f>IFERROR(VLOOKUP(K350,【参考】数式用!$AH$2:$AI$34,2,FALSE),"")</f>
        <v/>
      </c>
      <c r="AY350" s="1222" t="s">
        <v>1959</v>
      </c>
      <c r="AZ350" s="1222" t="s">
        <v>1960</v>
      </c>
      <c r="BA350" s="1222" t="s">
        <v>1961</v>
      </c>
      <c r="BB350" s="1222" t="s">
        <v>1962</v>
      </c>
      <c r="BC350" s="1222" t="str">
        <f>IF(AND(O350&lt;&gt;"新加算Ⅰ",O350&lt;&gt;"新加算Ⅱ",O350&lt;&gt;"新加算Ⅲ",O350&lt;&gt;"新加算Ⅳ"),O350,IF(P352&lt;&gt;"",P352,""))</f>
        <v/>
      </c>
      <c r="BD350" s="1222"/>
      <c r="BE350" s="1222" t="str">
        <f t="shared" ref="BE350" si="922">IF(AL350&lt;&gt;0,IF(AM350="○","入力済","未入力"),"")</f>
        <v/>
      </c>
      <c r="BF350" s="1222"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2" t="str">
        <f>IF(OR(T350="新加算Ⅴ（７）",T350="新加算Ⅴ（９）",T350="新加算Ⅴ（10）",T350="新加算Ⅴ（12）",T350="新加算Ⅴ（13）",T350="新加算Ⅴ（14）"),IF(OR(AO350="○",AO350="令和６年度中に満たす"),"入力済","未入力"),"")</f>
        <v/>
      </c>
      <c r="BH350" s="1323" t="str">
        <f t="shared" ref="BH350" si="923">IF(OR(T350="新加算Ⅰ",T350="新加算Ⅱ",T350="新加算Ⅲ",T350="新加算Ⅴ（１）",T350="新加算Ⅴ（３）",T350="新加算Ⅴ（８）"),IF(OR(AP350="○",AP350="令和６年度中に満たす"),"入力済","未入力"),"")</f>
        <v/>
      </c>
      <c r="BI350" s="1325" t="str">
        <f t="shared" ref="BI350" si="924">IF(OR(T350="新加算Ⅰ",T350="新加算Ⅱ",T350="新加算Ⅴ（１）",T350="新加算Ⅴ（２）",T350="新加算Ⅴ（３）",T350="新加算Ⅴ（４）",T350="新加算Ⅴ（５）",T350="新加算Ⅴ（６）",T350="新加算Ⅴ（７）",T350="新加算Ⅴ（９）",T350="新加算Ⅴ（10）",T350="新加算Ⅴ（12）"),1,"")</f>
        <v/>
      </c>
      <c r="BJ350" s="1303" t="str">
        <f>IF(OR(T350="新加算Ⅰ",T350="新加算Ⅴ（１）",T350="新加算Ⅴ（２）",T350="新加算Ⅴ（５）",T350="新加算Ⅴ（７）",T350="新加算Ⅴ（10）"),IF(AR350="","未入力","入力済"),"")</f>
        <v/>
      </c>
      <c r="BK350" s="452" t="str">
        <f>G350</f>
        <v/>
      </c>
    </row>
    <row r="351" spans="1:63" ht="15" customHeight="1">
      <c r="A351" s="1267"/>
      <c r="B351" s="1235"/>
      <c r="C351" s="1236"/>
      <c r="D351" s="1236"/>
      <c r="E351" s="1236"/>
      <c r="F351" s="1237"/>
      <c r="G351" s="1252"/>
      <c r="H351" s="1252"/>
      <c r="I351" s="1252"/>
      <c r="J351" s="1415"/>
      <c r="K351" s="1252"/>
      <c r="L351" s="1276"/>
      <c r="M351" s="1371" t="str">
        <f>IF('別紙様式2-2（４・５月分）'!P267="","",'別紙様式2-2（４・５月分）'!P267)</f>
        <v/>
      </c>
      <c r="N351" s="1392"/>
      <c r="O351" s="1398"/>
      <c r="P351" s="1399"/>
      <c r="Q351" s="1400"/>
      <c r="R351" s="1402"/>
      <c r="S351" s="1404"/>
      <c r="T351" s="1406"/>
      <c r="U351" s="1408"/>
      <c r="V351" s="1410"/>
      <c r="W351" s="1348"/>
      <c r="X351" s="1350"/>
      <c r="Y351" s="1348"/>
      <c r="Z351" s="1350"/>
      <c r="AA351" s="1348"/>
      <c r="AB351" s="1350"/>
      <c r="AC351" s="1348"/>
      <c r="AD351" s="1350"/>
      <c r="AE351" s="1350"/>
      <c r="AF351" s="1350"/>
      <c r="AG351" s="1352"/>
      <c r="AH351" s="1354"/>
      <c r="AI351" s="1356"/>
      <c r="AJ351" s="1358"/>
      <c r="AK351" s="1342"/>
      <c r="AL351" s="1346"/>
      <c r="AM351" s="1332"/>
      <c r="AN351" s="1338"/>
      <c r="AO351" s="1334"/>
      <c r="AP351" s="1334"/>
      <c r="AQ351" s="1336"/>
      <c r="AR351" s="1316"/>
      <c r="AS351" s="1302"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4"/>
      <c r="AU351" s="1303"/>
      <c r="AV351" s="1304" t="str">
        <f>IF('別紙様式2-2（４・５月分）'!N267="","",'別紙様式2-2（４・５月分）'!N267)</f>
        <v/>
      </c>
      <c r="AW351" s="1305"/>
      <c r="AX351" s="1306"/>
      <c r="AY351" s="1222"/>
      <c r="AZ351" s="1222"/>
      <c r="BA351" s="1222"/>
      <c r="BB351" s="1222"/>
      <c r="BC351" s="1222"/>
      <c r="BD351" s="1222"/>
      <c r="BE351" s="1222"/>
      <c r="BF351" s="1222"/>
      <c r="BG351" s="1222"/>
      <c r="BH351" s="1324"/>
      <c r="BI351" s="1326"/>
      <c r="BJ351" s="1303"/>
      <c r="BK351" s="452" t="str">
        <f>G350</f>
        <v/>
      </c>
    </row>
    <row r="352" spans="1:63" ht="15" customHeight="1">
      <c r="A352" s="1295"/>
      <c r="B352" s="1235"/>
      <c r="C352" s="1236"/>
      <c r="D352" s="1236"/>
      <c r="E352" s="1236"/>
      <c r="F352" s="1237"/>
      <c r="G352" s="1252"/>
      <c r="H352" s="1252"/>
      <c r="I352" s="1252"/>
      <c r="J352" s="1415"/>
      <c r="K352" s="1252"/>
      <c r="L352" s="1276"/>
      <c r="M352" s="1372"/>
      <c r="N352" s="1393"/>
      <c r="O352" s="1373" t="s">
        <v>2025</v>
      </c>
      <c r="P352" s="1375" t="str">
        <f>IFERROR(VLOOKUP('別紙様式2-2（４・５月分）'!AQ266,【参考】数式用!$AR$5:$AT$22,3,FALSE),"")</f>
        <v/>
      </c>
      <c r="Q352" s="1377" t="s">
        <v>2036</v>
      </c>
      <c r="R352" s="1379" t="str">
        <f>IFERROR(VLOOKUP(K350,【参考】数式用!$A$5:$AB$37,MATCH(P352,【参考】数式用!$B$4:$AB$4,0)+1,0),"")</f>
        <v/>
      </c>
      <c r="S352" s="1381" t="s">
        <v>161</v>
      </c>
      <c r="T352" s="1383"/>
      <c r="U352" s="1385" t="str">
        <f>IFERROR(VLOOKUP(K350,【参考】数式用!$A$5:$AB$37,MATCH(T352,【参考】数式用!$B$4:$AB$4,0)+1,0),"")</f>
        <v/>
      </c>
      <c r="V352" s="1387" t="s">
        <v>15</v>
      </c>
      <c r="W352" s="1389">
        <v>7</v>
      </c>
      <c r="X352" s="1363" t="s">
        <v>10</v>
      </c>
      <c r="Y352" s="1389">
        <v>4</v>
      </c>
      <c r="Z352" s="1363" t="s">
        <v>38</v>
      </c>
      <c r="AA352" s="1389">
        <v>8</v>
      </c>
      <c r="AB352" s="1363" t="s">
        <v>10</v>
      </c>
      <c r="AC352" s="1389">
        <v>3</v>
      </c>
      <c r="AD352" s="1363" t="s">
        <v>13</v>
      </c>
      <c r="AE352" s="1363" t="s">
        <v>20</v>
      </c>
      <c r="AF352" s="1363">
        <f>IF(W352&gt;=1,(AA352*12+AC352)-(W352*12+Y352)+1,"")</f>
        <v>12</v>
      </c>
      <c r="AG352" s="1359" t="s">
        <v>33</v>
      </c>
      <c r="AH352" s="1365" t="str">
        <f t="shared" ref="AH352" si="926">IFERROR(ROUNDDOWN(ROUND(L350*U352,0),0)*AF352,"")</f>
        <v/>
      </c>
      <c r="AI352" s="1367" t="str">
        <f t="shared" ref="AI352" si="927">IFERROR(ROUNDDOWN(ROUND((L350*(U352-AW350)),0),0)*AF352,"")</f>
        <v/>
      </c>
      <c r="AJ352" s="1369">
        <f>IFERROR(IF(OR(M350="",M351="",M353=""),0,ROUNDDOWN(ROUNDDOWN(ROUND(L350*VLOOKUP(K350,【参考】数式用!$A$5:$AB$37,MATCH("新加算Ⅳ",【参考】数式用!$B$4:$AB$4,0)+1,0),0),0)*AF352*0.5,0)),"")</f>
        <v>0</v>
      </c>
      <c r="AK352" s="1339" t="str">
        <f t="shared" ref="AK352" si="928">IF(T352&lt;&gt;"","新規に適用","")</f>
        <v/>
      </c>
      <c r="AL352" s="1343">
        <f>IFERROR(IF(OR(M353="ベア加算",M353=""),0, IF(OR(T350="新加算Ⅰ",T350="新加算Ⅱ",T350="新加算Ⅲ",T350="新加算Ⅳ"),0,ROUNDDOWN(ROUND(L350*VLOOKUP(K350,【参考】数式用!$A$5:$I$37,MATCH("ベア加算",【参考】数式用!$B$4:$I$4,0)+1,0),0),0)*AF352)),"")</f>
        <v>0</v>
      </c>
      <c r="AM352" s="1313" t="str">
        <f>IF(AND(T352&lt;&gt;"",AM350=""),"新規に適用",IF(AND(T352&lt;&gt;"",AM350&lt;&gt;""),"継続で適用",""))</f>
        <v/>
      </c>
      <c r="AN352" s="1313" t="str">
        <f>IF(AND(T352&lt;&gt;"",AN350=""),"新規に適用",IF(AND(T352&lt;&gt;"",AN350&lt;&gt;""),"継続で適用",""))</f>
        <v/>
      </c>
      <c r="AO352" s="1361"/>
      <c r="AP352" s="1313" t="str">
        <f>IF(AND(T352&lt;&gt;"",AP350=""),"新規に適用",IF(AND(T352&lt;&gt;"",AP350&lt;&gt;""),"継続で適用",""))</f>
        <v/>
      </c>
      <c r="AQ352" s="1317" t="str">
        <f t="shared" si="774"/>
        <v/>
      </c>
      <c r="AR352" s="1313" t="str">
        <f>IF(AND(T352&lt;&gt;"",AR350=""),"新規に適用",IF(AND(T352&lt;&gt;"",AR350&lt;&gt;""),"継続で適用",""))</f>
        <v/>
      </c>
      <c r="AS352" s="1302"/>
      <c r="AT352" s="554"/>
      <c r="AU352" s="1303" t="str">
        <f>IF(K350&lt;&gt;"","V列に色付け","")</f>
        <v/>
      </c>
      <c r="AV352" s="1304"/>
      <c r="AW352" s="1305"/>
      <c r="AX352"/>
      <c r="AY352"/>
      <c r="AZ352"/>
      <c r="BA352"/>
      <c r="BB352"/>
      <c r="BC352"/>
      <c r="BD352"/>
      <c r="BE352"/>
      <c r="BF352"/>
      <c r="BG352"/>
      <c r="BH352"/>
      <c r="BI352"/>
      <c r="BJ352"/>
      <c r="BK352" s="452" t="str">
        <f>G350</f>
        <v/>
      </c>
    </row>
    <row r="353" spans="1:63" ht="30" customHeight="1" thickBot="1">
      <c r="A353" s="1268"/>
      <c r="B353" s="1411"/>
      <c r="C353" s="1412"/>
      <c r="D353" s="1412"/>
      <c r="E353" s="1412"/>
      <c r="F353" s="1413"/>
      <c r="G353" s="1253"/>
      <c r="H353" s="1253"/>
      <c r="I353" s="1253"/>
      <c r="J353" s="1416"/>
      <c r="K353" s="1253"/>
      <c r="L353" s="1277"/>
      <c r="M353" s="553" t="str">
        <f>IF('別紙様式2-2（４・５月分）'!P268="","",'別紙様式2-2（４・５月分）'!P268)</f>
        <v/>
      </c>
      <c r="N353" s="1394"/>
      <c r="O353" s="1374"/>
      <c r="P353" s="1376"/>
      <c r="Q353" s="1378"/>
      <c r="R353" s="1380"/>
      <c r="S353" s="1382"/>
      <c r="T353" s="1384"/>
      <c r="U353" s="1386"/>
      <c r="V353" s="1388"/>
      <c r="W353" s="1390"/>
      <c r="X353" s="1364"/>
      <c r="Y353" s="1390"/>
      <c r="Z353" s="1364"/>
      <c r="AA353" s="1390"/>
      <c r="AB353" s="1364"/>
      <c r="AC353" s="1390"/>
      <c r="AD353" s="1364"/>
      <c r="AE353" s="1364"/>
      <c r="AF353" s="1364"/>
      <c r="AG353" s="1360"/>
      <c r="AH353" s="1366"/>
      <c r="AI353" s="1368"/>
      <c r="AJ353" s="1370"/>
      <c r="AK353" s="1340"/>
      <c r="AL353" s="1344"/>
      <c r="AM353" s="1314"/>
      <c r="AN353" s="1314"/>
      <c r="AO353" s="1362"/>
      <c r="AP353" s="1314"/>
      <c r="AQ353" s="1318"/>
      <c r="AR353" s="1314"/>
      <c r="AS353" s="490"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4"/>
      <c r="AU353" s="1303"/>
      <c r="AV353" s="555" t="str">
        <f>IF('別紙様式2-2（４・５月分）'!N268="","",'別紙様式2-2（４・５月分）'!N268)</f>
        <v/>
      </c>
      <c r="AW353" s="1305"/>
      <c r="AX353"/>
      <c r="AY353"/>
      <c r="AZ353"/>
      <c r="BA353"/>
      <c r="BB353"/>
      <c r="BC353"/>
      <c r="BD353"/>
      <c r="BE353"/>
      <c r="BF353"/>
      <c r="BG353"/>
      <c r="BH353"/>
      <c r="BI353"/>
      <c r="BJ353"/>
      <c r="BK353" s="452" t="str">
        <f>G350</f>
        <v/>
      </c>
    </row>
    <row r="354" spans="1:63" ht="30" customHeight="1">
      <c r="A354" s="1293">
        <v>86</v>
      </c>
      <c r="B354" s="1235" t="str">
        <f>IF(基本情報入力シート!C139="","",基本情報入力シート!C139)</f>
        <v/>
      </c>
      <c r="C354" s="1236"/>
      <c r="D354" s="1236"/>
      <c r="E354" s="1236"/>
      <c r="F354" s="1237"/>
      <c r="G354" s="1252" t="str">
        <f>IF(基本情報入力シート!M139="","",基本情報入力シート!M139)</f>
        <v/>
      </c>
      <c r="H354" s="1252" t="str">
        <f>IF(基本情報入力シート!R139="","",基本情報入力シート!R139)</f>
        <v/>
      </c>
      <c r="I354" s="1252" t="str">
        <f>IF(基本情報入力シート!W139="","",基本情報入力シート!W139)</f>
        <v/>
      </c>
      <c r="J354" s="1415" t="str">
        <f>IF(基本情報入力シート!X139="","",基本情報入力シート!X139)</f>
        <v/>
      </c>
      <c r="K354" s="1252" t="str">
        <f>IF(基本情報入力シート!Y139="","",基本情報入力シート!Y139)</f>
        <v/>
      </c>
      <c r="L354" s="1276" t="str">
        <f>IF(基本情報入力シート!AB139="","",基本情報入力シート!AB139)</f>
        <v/>
      </c>
      <c r="M354" s="550" t="str">
        <f>IF('別紙様式2-2（４・５月分）'!P269="","",'別紙様式2-2（４・５月分）'!P269)</f>
        <v/>
      </c>
      <c r="N354" s="1391" t="str">
        <f>IF(SUM('別紙様式2-2（４・５月分）'!Q269:Q271)=0,"",SUM('別紙様式2-2（４・５月分）'!Q269:Q271))</f>
        <v/>
      </c>
      <c r="O354" s="1395" t="str">
        <f>IFERROR(VLOOKUP('別紙様式2-2（４・５月分）'!AQ269,【参考】数式用!$AR$5:$AS$22,2,FALSE),"")</f>
        <v/>
      </c>
      <c r="P354" s="1396"/>
      <c r="Q354" s="1397"/>
      <c r="R354" s="1401" t="str">
        <f>IFERROR(VLOOKUP(K354,【参考】数式用!$A$5:$AB$37,MATCH(O354,【参考】数式用!$B$4:$AB$4,0)+1,0),"")</f>
        <v/>
      </c>
      <c r="S354" s="1403" t="s">
        <v>2021</v>
      </c>
      <c r="T354" s="1405"/>
      <c r="U354" s="1407" t="str">
        <f>IFERROR(VLOOKUP(K354,【参考】数式用!$A$5:$AB$37,MATCH(T354,【参考】数式用!$B$4:$AB$4,0)+1,0),"")</f>
        <v/>
      </c>
      <c r="V354" s="1409" t="s">
        <v>15</v>
      </c>
      <c r="W354" s="1347">
        <v>6</v>
      </c>
      <c r="X354" s="1349" t="s">
        <v>10</v>
      </c>
      <c r="Y354" s="1347">
        <v>6</v>
      </c>
      <c r="Z354" s="1349" t="s">
        <v>38</v>
      </c>
      <c r="AA354" s="1347">
        <v>7</v>
      </c>
      <c r="AB354" s="1349" t="s">
        <v>10</v>
      </c>
      <c r="AC354" s="1347">
        <v>3</v>
      </c>
      <c r="AD354" s="1349" t="s">
        <v>13</v>
      </c>
      <c r="AE354" s="1349" t="s">
        <v>20</v>
      </c>
      <c r="AF354" s="1349">
        <f>IF(W354&gt;=1,(AA354*12+AC354)-(W354*12+Y354)+1,"")</f>
        <v>10</v>
      </c>
      <c r="AG354" s="1351" t="s">
        <v>33</v>
      </c>
      <c r="AH354" s="1353" t="str">
        <f t="shared" ref="AH354" si="930">IFERROR(ROUNDDOWN(ROUND(L354*U354,0),0)*AF354,"")</f>
        <v/>
      </c>
      <c r="AI354" s="1355" t="str">
        <f t="shared" ref="AI354" si="931">IFERROR(ROUNDDOWN(ROUND((L354*(U354-AW354)),0),0)*AF354,"")</f>
        <v/>
      </c>
      <c r="AJ354" s="1357">
        <f>IFERROR(IF(OR(M354="",M355="",M357=""),0,ROUNDDOWN(ROUNDDOWN(ROUND(L354*VLOOKUP(K354,【参考】数式用!$A$5:$AB$37,MATCH("新加算Ⅳ",【参考】数式用!$B$4:$AB$4,0)+1,0),0),0)*AF354*0.5,0)),"")</f>
        <v>0</v>
      </c>
      <c r="AK354" s="1341"/>
      <c r="AL354" s="1345">
        <f>IFERROR(IF(OR(M357="ベア加算",M357=""),0, IF(OR(T354="新加算Ⅰ",T354="新加算Ⅱ",T354="新加算Ⅲ",T354="新加算Ⅳ"),ROUNDDOWN(ROUND(L354*VLOOKUP(K354,【参考】数式用!$A$5:$I$37,MATCH("ベア加算",【参考】数式用!$B$4:$I$4,0)+1,0),0),0)*AF354,0)),"")</f>
        <v>0</v>
      </c>
      <c r="AM354" s="1331"/>
      <c r="AN354" s="1337"/>
      <c r="AO354" s="1333"/>
      <c r="AP354" s="1333"/>
      <c r="AQ354" s="1335"/>
      <c r="AR354" s="1315"/>
      <c r="AS354" s="465" t="str">
        <f t="shared" ref="AS354" si="932">IF(AU354="","",IF(U354&lt;N354,"！加算の要件上は問題ありませんが、令和６年４・５月と比較して令和６年６月に加算率が下がる計画になっています。",""))</f>
        <v/>
      </c>
      <c r="AT354" s="554"/>
      <c r="AU354" s="1303" t="str">
        <f>IF(K354&lt;&gt;"","V列に色付け","")</f>
        <v/>
      </c>
      <c r="AV354" s="555" t="str">
        <f>IF('別紙様式2-2（４・５月分）'!N269="","",'別紙様式2-2（４・５月分）'!N269)</f>
        <v/>
      </c>
      <c r="AW354" s="1305" t="str">
        <f>IF(SUM('別紙様式2-2（４・５月分）'!O269:O271)=0,"",SUM('別紙様式2-2（４・５月分）'!O269:O271))</f>
        <v/>
      </c>
      <c r="AX354" s="1306" t="str">
        <f>IFERROR(VLOOKUP(K354,【参考】数式用!$AH$2:$AI$34,2,FALSE),"")</f>
        <v/>
      </c>
      <c r="AY354" s="1222" t="s">
        <v>1959</v>
      </c>
      <c r="AZ354" s="1222" t="s">
        <v>1960</v>
      </c>
      <c r="BA354" s="1222" t="s">
        <v>1961</v>
      </c>
      <c r="BB354" s="1222" t="s">
        <v>1962</v>
      </c>
      <c r="BC354" s="1222" t="str">
        <f>IF(AND(O354&lt;&gt;"新加算Ⅰ",O354&lt;&gt;"新加算Ⅱ",O354&lt;&gt;"新加算Ⅲ",O354&lt;&gt;"新加算Ⅳ"),O354,IF(P356&lt;&gt;"",P356,""))</f>
        <v/>
      </c>
      <c r="BD354" s="1222"/>
      <c r="BE354" s="1222" t="str">
        <f t="shared" ref="BE354" si="933">IF(AL354&lt;&gt;0,IF(AM354="○","入力済","未入力"),"")</f>
        <v/>
      </c>
      <c r="BF354" s="1222"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2" t="str">
        <f>IF(OR(T354="新加算Ⅴ（７）",T354="新加算Ⅴ（９）",T354="新加算Ⅴ（10）",T354="新加算Ⅴ（12）",T354="新加算Ⅴ（13）",T354="新加算Ⅴ（14）"),IF(OR(AO354="○",AO354="令和６年度中に満たす"),"入力済","未入力"),"")</f>
        <v/>
      </c>
      <c r="BH354" s="1323" t="str">
        <f t="shared" ref="BH354" si="934">IF(OR(T354="新加算Ⅰ",T354="新加算Ⅱ",T354="新加算Ⅲ",T354="新加算Ⅴ（１）",T354="新加算Ⅴ（３）",T354="新加算Ⅴ（８）"),IF(OR(AP354="○",AP354="令和６年度中に満たす"),"入力済","未入力"),"")</f>
        <v/>
      </c>
      <c r="BI354" s="1325" t="str">
        <f t="shared" ref="BI354" si="935">IF(OR(T354="新加算Ⅰ",T354="新加算Ⅱ",T354="新加算Ⅴ（１）",T354="新加算Ⅴ（２）",T354="新加算Ⅴ（３）",T354="新加算Ⅴ（４）",T354="新加算Ⅴ（５）",T354="新加算Ⅴ（６）",T354="新加算Ⅴ（７）",T354="新加算Ⅴ（９）",T354="新加算Ⅴ（10）",T354="新加算Ⅴ（12）"),1,"")</f>
        <v/>
      </c>
      <c r="BJ354" s="1303" t="str">
        <f>IF(OR(T354="新加算Ⅰ",T354="新加算Ⅴ（１）",T354="新加算Ⅴ（２）",T354="新加算Ⅴ（５）",T354="新加算Ⅴ（７）",T354="新加算Ⅴ（10）"),IF(AR354="","未入力","入力済"),"")</f>
        <v/>
      </c>
      <c r="BK354" s="452" t="str">
        <f>G354</f>
        <v/>
      </c>
    </row>
    <row r="355" spans="1:63" ht="15" customHeight="1">
      <c r="A355" s="1267"/>
      <c r="B355" s="1235"/>
      <c r="C355" s="1236"/>
      <c r="D355" s="1236"/>
      <c r="E355" s="1236"/>
      <c r="F355" s="1237"/>
      <c r="G355" s="1252"/>
      <c r="H355" s="1252"/>
      <c r="I355" s="1252"/>
      <c r="J355" s="1415"/>
      <c r="K355" s="1252"/>
      <c r="L355" s="1276"/>
      <c r="M355" s="1371" t="str">
        <f>IF('別紙様式2-2（４・５月分）'!P270="","",'別紙様式2-2（４・５月分）'!P270)</f>
        <v/>
      </c>
      <c r="N355" s="1392"/>
      <c r="O355" s="1398"/>
      <c r="P355" s="1399"/>
      <c r="Q355" s="1400"/>
      <c r="R355" s="1402"/>
      <c r="S355" s="1404"/>
      <c r="T355" s="1406"/>
      <c r="U355" s="1408"/>
      <c r="V355" s="1410"/>
      <c r="W355" s="1348"/>
      <c r="X355" s="1350"/>
      <c r="Y355" s="1348"/>
      <c r="Z355" s="1350"/>
      <c r="AA355" s="1348"/>
      <c r="AB355" s="1350"/>
      <c r="AC355" s="1348"/>
      <c r="AD355" s="1350"/>
      <c r="AE355" s="1350"/>
      <c r="AF355" s="1350"/>
      <c r="AG355" s="1352"/>
      <c r="AH355" s="1354"/>
      <c r="AI355" s="1356"/>
      <c r="AJ355" s="1358"/>
      <c r="AK355" s="1342"/>
      <c r="AL355" s="1346"/>
      <c r="AM355" s="1332"/>
      <c r="AN355" s="1338"/>
      <c r="AO355" s="1334"/>
      <c r="AP355" s="1334"/>
      <c r="AQ355" s="1336"/>
      <c r="AR355" s="1316"/>
      <c r="AS355" s="1302"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4"/>
      <c r="AU355" s="1303"/>
      <c r="AV355" s="1304" t="str">
        <f>IF('別紙様式2-2（４・５月分）'!N270="","",'別紙様式2-2（４・５月分）'!N270)</f>
        <v/>
      </c>
      <c r="AW355" s="1305"/>
      <c r="AX355" s="1306"/>
      <c r="AY355" s="1222"/>
      <c r="AZ355" s="1222"/>
      <c r="BA355" s="1222"/>
      <c r="BB355" s="1222"/>
      <c r="BC355" s="1222"/>
      <c r="BD355" s="1222"/>
      <c r="BE355" s="1222"/>
      <c r="BF355" s="1222"/>
      <c r="BG355" s="1222"/>
      <c r="BH355" s="1324"/>
      <c r="BI355" s="1326"/>
      <c r="BJ355" s="1303"/>
      <c r="BK355" s="452" t="str">
        <f>G354</f>
        <v/>
      </c>
    </row>
    <row r="356" spans="1:63" ht="15" customHeight="1">
      <c r="A356" s="1295"/>
      <c r="B356" s="1235"/>
      <c r="C356" s="1236"/>
      <c r="D356" s="1236"/>
      <c r="E356" s="1236"/>
      <c r="F356" s="1237"/>
      <c r="G356" s="1252"/>
      <c r="H356" s="1252"/>
      <c r="I356" s="1252"/>
      <c r="J356" s="1415"/>
      <c r="K356" s="1252"/>
      <c r="L356" s="1276"/>
      <c r="M356" s="1372"/>
      <c r="N356" s="1393"/>
      <c r="O356" s="1373" t="s">
        <v>2025</v>
      </c>
      <c r="P356" s="1375" t="str">
        <f>IFERROR(VLOOKUP('別紙様式2-2（４・５月分）'!AQ269,【参考】数式用!$AR$5:$AT$22,3,FALSE),"")</f>
        <v/>
      </c>
      <c r="Q356" s="1377" t="s">
        <v>2036</v>
      </c>
      <c r="R356" s="1379" t="str">
        <f>IFERROR(VLOOKUP(K354,【参考】数式用!$A$5:$AB$37,MATCH(P356,【参考】数式用!$B$4:$AB$4,0)+1,0),"")</f>
        <v/>
      </c>
      <c r="S356" s="1381" t="s">
        <v>161</v>
      </c>
      <c r="T356" s="1383"/>
      <c r="U356" s="1385" t="str">
        <f>IFERROR(VLOOKUP(K354,【参考】数式用!$A$5:$AB$37,MATCH(T356,【参考】数式用!$B$4:$AB$4,0)+1,0),"")</f>
        <v/>
      </c>
      <c r="V356" s="1387" t="s">
        <v>15</v>
      </c>
      <c r="W356" s="1389">
        <v>7</v>
      </c>
      <c r="X356" s="1363" t="s">
        <v>10</v>
      </c>
      <c r="Y356" s="1389">
        <v>4</v>
      </c>
      <c r="Z356" s="1363" t="s">
        <v>38</v>
      </c>
      <c r="AA356" s="1389">
        <v>8</v>
      </c>
      <c r="AB356" s="1363" t="s">
        <v>10</v>
      </c>
      <c r="AC356" s="1389">
        <v>3</v>
      </c>
      <c r="AD356" s="1363" t="s">
        <v>13</v>
      </c>
      <c r="AE356" s="1363" t="s">
        <v>20</v>
      </c>
      <c r="AF356" s="1363">
        <f>IF(W356&gt;=1,(AA356*12+AC356)-(W356*12+Y356)+1,"")</f>
        <v>12</v>
      </c>
      <c r="AG356" s="1359" t="s">
        <v>33</v>
      </c>
      <c r="AH356" s="1365" t="str">
        <f t="shared" ref="AH356" si="937">IFERROR(ROUNDDOWN(ROUND(L354*U356,0),0)*AF356,"")</f>
        <v/>
      </c>
      <c r="AI356" s="1367" t="str">
        <f t="shared" ref="AI356" si="938">IFERROR(ROUNDDOWN(ROUND((L354*(U356-AW354)),0),0)*AF356,"")</f>
        <v/>
      </c>
      <c r="AJ356" s="1369">
        <f>IFERROR(IF(OR(M354="",M355="",M357=""),0,ROUNDDOWN(ROUNDDOWN(ROUND(L354*VLOOKUP(K354,【参考】数式用!$A$5:$AB$37,MATCH("新加算Ⅳ",【参考】数式用!$B$4:$AB$4,0)+1,0),0),0)*AF356*0.5,0)),"")</f>
        <v>0</v>
      </c>
      <c r="AK356" s="1339" t="str">
        <f t="shared" ref="AK356" si="939">IF(T356&lt;&gt;"","新規に適用","")</f>
        <v/>
      </c>
      <c r="AL356" s="1343">
        <f>IFERROR(IF(OR(M357="ベア加算",M357=""),0, IF(OR(T354="新加算Ⅰ",T354="新加算Ⅱ",T354="新加算Ⅲ",T354="新加算Ⅳ"),0,ROUNDDOWN(ROUND(L354*VLOOKUP(K354,【参考】数式用!$A$5:$I$37,MATCH("ベア加算",【参考】数式用!$B$4:$I$4,0)+1,0),0),0)*AF356)),"")</f>
        <v>0</v>
      </c>
      <c r="AM356" s="1313" t="str">
        <f>IF(AND(T356&lt;&gt;"",AM354=""),"新規に適用",IF(AND(T356&lt;&gt;"",AM354&lt;&gt;""),"継続で適用",""))</f>
        <v/>
      </c>
      <c r="AN356" s="1313" t="str">
        <f>IF(AND(T356&lt;&gt;"",AN354=""),"新規に適用",IF(AND(T356&lt;&gt;"",AN354&lt;&gt;""),"継続で適用",""))</f>
        <v/>
      </c>
      <c r="AO356" s="1361"/>
      <c r="AP356" s="1313" t="str">
        <f>IF(AND(T356&lt;&gt;"",AP354=""),"新規に適用",IF(AND(T356&lt;&gt;"",AP354&lt;&gt;""),"継続で適用",""))</f>
        <v/>
      </c>
      <c r="AQ356" s="1317" t="str">
        <f t="shared" si="774"/>
        <v/>
      </c>
      <c r="AR356" s="1313" t="str">
        <f>IF(AND(T356&lt;&gt;"",AR354=""),"新規に適用",IF(AND(T356&lt;&gt;"",AR354&lt;&gt;""),"継続で適用",""))</f>
        <v/>
      </c>
      <c r="AS356" s="1302"/>
      <c r="AT356" s="554"/>
      <c r="AU356" s="1303" t="str">
        <f>IF(K354&lt;&gt;"","V列に色付け","")</f>
        <v/>
      </c>
      <c r="AV356" s="1304"/>
      <c r="AW356" s="1305"/>
      <c r="AX356"/>
      <c r="AY356"/>
      <c r="AZ356"/>
      <c r="BA356"/>
      <c r="BB356"/>
      <c r="BC356"/>
      <c r="BD356"/>
      <c r="BE356"/>
      <c r="BF356"/>
      <c r="BG356"/>
      <c r="BH356"/>
      <c r="BI356"/>
      <c r="BJ356"/>
      <c r="BK356" s="452" t="str">
        <f>G354</f>
        <v/>
      </c>
    </row>
    <row r="357" spans="1:63" ht="30" customHeight="1" thickBot="1">
      <c r="A357" s="1268"/>
      <c r="B357" s="1411"/>
      <c r="C357" s="1412"/>
      <c r="D357" s="1412"/>
      <c r="E357" s="1412"/>
      <c r="F357" s="1413"/>
      <c r="G357" s="1253"/>
      <c r="H357" s="1253"/>
      <c r="I357" s="1253"/>
      <c r="J357" s="1416"/>
      <c r="K357" s="1253"/>
      <c r="L357" s="1277"/>
      <c r="M357" s="553" t="str">
        <f>IF('別紙様式2-2（４・５月分）'!P271="","",'別紙様式2-2（４・５月分）'!P271)</f>
        <v/>
      </c>
      <c r="N357" s="1394"/>
      <c r="O357" s="1374"/>
      <c r="P357" s="1376"/>
      <c r="Q357" s="1378"/>
      <c r="R357" s="1380"/>
      <c r="S357" s="1382"/>
      <c r="T357" s="1384"/>
      <c r="U357" s="1386"/>
      <c r="V357" s="1388"/>
      <c r="W357" s="1390"/>
      <c r="X357" s="1364"/>
      <c r="Y357" s="1390"/>
      <c r="Z357" s="1364"/>
      <c r="AA357" s="1390"/>
      <c r="AB357" s="1364"/>
      <c r="AC357" s="1390"/>
      <c r="AD357" s="1364"/>
      <c r="AE357" s="1364"/>
      <c r="AF357" s="1364"/>
      <c r="AG357" s="1360"/>
      <c r="AH357" s="1366"/>
      <c r="AI357" s="1368"/>
      <c r="AJ357" s="1370"/>
      <c r="AK357" s="1340"/>
      <c r="AL357" s="1344"/>
      <c r="AM357" s="1314"/>
      <c r="AN357" s="1314"/>
      <c r="AO357" s="1362"/>
      <c r="AP357" s="1314"/>
      <c r="AQ357" s="1318"/>
      <c r="AR357" s="1314"/>
      <c r="AS357" s="490"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4"/>
      <c r="AU357" s="1303"/>
      <c r="AV357" s="555" t="str">
        <f>IF('別紙様式2-2（４・５月分）'!N271="","",'別紙様式2-2（４・５月分）'!N271)</f>
        <v/>
      </c>
      <c r="AW357" s="1305"/>
      <c r="AX357"/>
      <c r="AY357"/>
      <c r="AZ357"/>
      <c r="BA357"/>
      <c r="BB357"/>
      <c r="BC357"/>
      <c r="BD357"/>
      <c r="BE357"/>
      <c r="BF357"/>
      <c r="BG357"/>
      <c r="BH357"/>
      <c r="BI357"/>
      <c r="BJ357"/>
      <c r="BK357" s="452" t="str">
        <f>G354</f>
        <v/>
      </c>
    </row>
    <row r="358" spans="1:63" ht="30" customHeight="1">
      <c r="A358" s="1266">
        <v>87</v>
      </c>
      <c r="B358" s="1232" t="str">
        <f>IF(基本情報入力シート!C140="","",基本情報入力シート!C140)</f>
        <v/>
      </c>
      <c r="C358" s="1233"/>
      <c r="D358" s="1233"/>
      <c r="E358" s="1233"/>
      <c r="F358" s="1234"/>
      <c r="G358" s="1251" t="str">
        <f>IF(基本情報入力シート!M140="","",基本情報入力シート!M140)</f>
        <v/>
      </c>
      <c r="H358" s="1251" t="str">
        <f>IF(基本情報入力シート!R140="","",基本情報入力シート!R140)</f>
        <v/>
      </c>
      <c r="I358" s="1251" t="str">
        <f>IF(基本情報入力シート!W140="","",基本情報入力シート!W140)</f>
        <v/>
      </c>
      <c r="J358" s="1414" t="str">
        <f>IF(基本情報入力シート!X140="","",基本情報入力シート!X140)</f>
        <v/>
      </c>
      <c r="K358" s="1251" t="str">
        <f>IF(基本情報入力シート!Y140="","",基本情報入力シート!Y140)</f>
        <v/>
      </c>
      <c r="L358" s="1275" t="str">
        <f>IF(基本情報入力シート!AB140="","",基本情報入力シート!AB140)</f>
        <v/>
      </c>
      <c r="M358" s="550" t="str">
        <f>IF('別紙様式2-2（４・５月分）'!P272="","",'別紙様式2-2（４・５月分）'!P272)</f>
        <v/>
      </c>
      <c r="N358" s="1391" t="str">
        <f>IF(SUM('別紙様式2-2（４・５月分）'!Q272:Q274)=0,"",SUM('別紙様式2-2（４・５月分）'!Q272:Q274))</f>
        <v/>
      </c>
      <c r="O358" s="1395" t="str">
        <f>IFERROR(VLOOKUP('別紙様式2-2（４・５月分）'!AQ272,【参考】数式用!$AR$5:$AS$22,2,FALSE),"")</f>
        <v/>
      </c>
      <c r="P358" s="1396"/>
      <c r="Q358" s="1397"/>
      <c r="R358" s="1401" t="str">
        <f>IFERROR(VLOOKUP(K358,【参考】数式用!$A$5:$AB$37,MATCH(O358,【参考】数式用!$B$4:$AB$4,0)+1,0),"")</f>
        <v/>
      </c>
      <c r="S358" s="1403" t="s">
        <v>2021</v>
      </c>
      <c r="T358" s="1405"/>
      <c r="U358" s="1407" t="str">
        <f>IFERROR(VLOOKUP(K358,【参考】数式用!$A$5:$AB$37,MATCH(T358,【参考】数式用!$B$4:$AB$4,0)+1,0),"")</f>
        <v/>
      </c>
      <c r="V358" s="1409" t="s">
        <v>15</v>
      </c>
      <c r="W358" s="1347">
        <v>6</v>
      </c>
      <c r="X358" s="1349" t="s">
        <v>10</v>
      </c>
      <c r="Y358" s="1347">
        <v>6</v>
      </c>
      <c r="Z358" s="1349" t="s">
        <v>38</v>
      </c>
      <c r="AA358" s="1347">
        <v>7</v>
      </c>
      <c r="AB358" s="1349" t="s">
        <v>10</v>
      </c>
      <c r="AC358" s="1347">
        <v>3</v>
      </c>
      <c r="AD358" s="1349" t="s">
        <v>13</v>
      </c>
      <c r="AE358" s="1349" t="s">
        <v>20</v>
      </c>
      <c r="AF358" s="1349">
        <f>IF(W358&gt;=1,(AA358*12+AC358)-(W358*12+Y358)+1,"")</f>
        <v>10</v>
      </c>
      <c r="AG358" s="1351" t="s">
        <v>33</v>
      </c>
      <c r="AH358" s="1353" t="str">
        <f t="shared" ref="AH358" si="941">IFERROR(ROUNDDOWN(ROUND(L358*U358,0),0)*AF358,"")</f>
        <v/>
      </c>
      <c r="AI358" s="1355" t="str">
        <f t="shared" ref="AI358" si="942">IFERROR(ROUNDDOWN(ROUND((L358*(U358-AW358)),0),0)*AF358,"")</f>
        <v/>
      </c>
      <c r="AJ358" s="1357">
        <f>IFERROR(IF(OR(M358="",M359="",M361=""),0,ROUNDDOWN(ROUNDDOWN(ROUND(L358*VLOOKUP(K358,【参考】数式用!$A$5:$AB$37,MATCH("新加算Ⅳ",【参考】数式用!$B$4:$AB$4,0)+1,0),0),0)*AF358*0.5,0)),"")</f>
        <v>0</v>
      </c>
      <c r="AK358" s="1341"/>
      <c r="AL358" s="1345">
        <f>IFERROR(IF(OR(M361="ベア加算",M361=""),0, IF(OR(T358="新加算Ⅰ",T358="新加算Ⅱ",T358="新加算Ⅲ",T358="新加算Ⅳ"),ROUNDDOWN(ROUND(L358*VLOOKUP(K358,【参考】数式用!$A$5:$I$37,MATCH("ベア加算",【参考】数式用!$B$4:$I$4,0)+1,0),0),0)*AF358,0)),"")</f>
        <v>0</v>
      </c>
      <c r="AM358" s="1331"/>
      <c r="AN358" s="1337"/>
      <c r="AO358" s="1333"/>
      <c r="AP358" s="1333"/>
      <c r="AQ358" s="1335"/>
      <c r="AR358" s="1315"/>
      <c r="AS358" s="465" t="str">
        <f t="shared" ref="AS358" si="943">IF(AU358="","",IF(U358&lt;N358,"！加算の要件上は問題ありませんが、令和６年４・５月と比較して令和６年６月に加算率が下がる計画になっています。",""))</f>
        <v/>
      </c>
      <c r="AT358" s="554"/>
      <c r="AU358" s="1303" t="str">
        <f>IF(K358&lt;&gt;"","V列に色付け","")</f>
        <v/>
      </c>
      <c r="AV358" s="555" t="str">
        <f>IF('別紙様式2-2（４・５月分）'!N272="","",'別紙様式2-2（４・５月分）'!N272)</f>
        <v/>
      </c>
      <c r="AW358" s="1305" t="str">
        <f>IF(SUM('別紙様式2-2（４・５月分）'!O272:O274)=0,"",SUM('別紙様式2-2（４・５月分）'!O272:O274))</f>
        <v/>
      </c>
      <c r="AX358" s="1306" t="str">
        <f>IFERROR(VLOOKUP(K358,【参考】数式用!$AH$2:$AI$34,2,FALSE),"")</f>
        <v/>
      </c>
      <c r="AY358" s="1222" t="s">
        <v>1959</v>
      </c>
      <c r="AZ358" s="1222" t="s">
        <v>1960</v>
      </c>
      <c r="BA358" s="1222" t="s">
        <v>1961</v>
      </c>
      <c r="BB358" s="1222" t="s">
        <v>1962</v>
      </c>
      <c r="BC358" s="1222" t="str">
        <f>IF(AND(O358&lt;&gt;"新加算Ⅰ",O358&lt;&gt;"新加算Ⅱ",O358&lt;&gt;"新加算Ⅲ",O358&lt;&gt;"新加算Ⅳ"),O358,IF(P360&lt;&gt;"",P360,""))</f>
        <v/>
      </c>
      <c r="BD358" s="1222"/>
      <c r="BE358" s="1222" t="str">
        <f t="shared" ref="BE358" si="944">IF(AL358&lt;&gt;0,IF(AM358="○","入力済","未入力"),"")</f>
        <v/>
      </c>
      <c r="BF358" s="1222"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2" t="str">
        <f>IF(OR(T358="新加算Ⅴ（７）",T358="新加算Ⅴ（９）",T358="新加算Ⅴ（10）",T358="新加算Ⅴ（12）",T358="新加算Ⅴ（13）",T358="新加算Ⅴ（14）"),IF(OR(AO358="○",AO358="令和６年度中に満たす"),"入力済","未入力"),"")</f>
        <v/>
      </c>
      <c r="BH358" s="1323" t="str">
        <f t="shared" ref="BH358" si="945">IF(OR(T358="新加算Ⅰ",T358="新加算Ⅱ",T358="新加算Ⅲ",T358="新加算Ⅴ（１）",T358="新加算Ⅴ（３）",T358="新加算Ⅴ（８）"),IF(OR(AP358="○",AP358="令和６年度中に満たす"),"入力済","未入力"),"")</f>
        <v/>
      </c>
      <c r="BI358" s="1325" t="str">
        <f t="shared" ref="BI358" si="946">IF(OR(T358="新加算Ⅰ",T358="新加算Ⅱ",T358="新加算Ⅴ（１）",T358="新加算Ⅴ（２）",T358="新加算Ⅴ（３）",T358="新加算Ⅴ（４）",T358="新加算Ⅴ（５）",T358="新加算Ⅴ（６）",T358="新加算Ⅴ（７）",T358="新加算Ⅴ（９）",T358="新加算Ⅴ（10）",T358="新加算Ⅴ（12）"),1,"")</f>
        <v/>
      </c>
      <c r="BJ358" s="1303" t="str">
        <f>IF(OR(T358="新加算Ⅰ",T358="新加算Ⅴ（１）",T358="新加算Ⅴ（２）",T358="新加算Ⅴ（５）",T358="新加算Ⅴ（７）",T358="新加算Ⅴ（10）"),IF(AR358="","未入力","入力済"),"")</f>
        <v/>
      </c>
      <c r="BK358" s="452" t="str">
        <f>G358</f>
        <v/>
      </c>
    </row>
    <row r="359" spans="1:63" ht="15" customHeight="1">
      <c r="A359" s="1267"/>
      <c r="B359" s="1235"/>
      <c r="C359" s="1236"/>
      <c r="D359" s="1236"/>
      <c r="E359" s="1236"/>
      <c r="F359" s="1237"/>
      <c r="G359" s="1252"/>
      <c r="H359" s="1252"/>
      <c r="I359" s="1252"/>
      <c r="J359" s="1415"/>
      <c r="K359" s="1252"/>
      <c r="L359" s="1276"/>
      <c r="M359" s="1371" t="str">
        <f>IF('別紙様式2-2（４・５月分）'!P273="","",'別紙様式2-2（４・５月分）'!P273)</f>
        <v/>
      </c>
      <c r="N359" s="1392"/>
      <c r="O359" s="1398"/>
      <c r="P359" s="1399"/>
      <c r="Q359" s="1400"/>
      <c r="R359" s="1402"/>
      <c r="S359" s="1404"/>
      <c r="T359" s="1406"/>
      <c r="U359" s="1408"/>
      <c r="V359" s="1410"/>
      <c r="W359" s="1348"/>
      <c r="X359" s="1350"/>
      <c r="Y359" s="1348"/>
      <c r="Z359" s="1350"/>
      <c r="AA359" s="1348"/>
      <c r="AB359" s="1350"/>
      <c r="AC359" s="1348"/>
      <c r="AD359" s="1350"/>
      <c r="AE359" s="1350"/>
      <c r="AF359" s="1350"/>
      <c r="AG359" s="1352"/>
      <c r="AH359" s="1354"/>
      <c r="AI359" s="1356"/>
      <c r="AJ359" s="1358"/>
      <c r="AK359" s="1342"/>
      <c r="AL359" s="1346"/>
      <c r="AM359" s="1332"/>
      <c r="AN359" s="1338"/>
      <c r="AO359" s="1334"/>
      <c r="AP359" s="1334"/>
      <c r="AQ359" s="1336"/>
      <c r="AR359" s="1316"/>
      <c r="AS359" s="1302"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4"/>
      <c r="AU359" s="1303"/>
      <c r="AV359" s="1304" t="str">
        <f>IF('別紙様式2-2（４・５月分）'!N273="","",'別紙様式2-2（４・５月分）'!N273)</f>
        <v/>
      </c>
      <c r="AW359" s="1305"/>
      <c r="AX359" s="1306"/>
      <c r="AY359" s="1222"/>
      <c r="AZ359" s="1222"/>
      <c r="BA359" s="1222"/>
      <c r="BB359" s="1222"/>
      <c r="BC359" s="1222"/>
      <c r="BD359" s="1222"/>
      <c r="BE359" s="1222"/>
      <c r="BF359" s="1222"/>
      <c r="BG359" s="1222"/>
      <c r="BH359" s="1324"/>
      <c r="BI359" s="1326"/>
      <c r="BJ359" s="1303"/>
      <c r="BK359" s="452" t="str">
        <f>G358</f>
        <v/>
      </c>
    </row>
    <row r="360" spans="1:63" ht="15" customHeight="1">
      <c r="A360" s="1295"/>
      <c r="B360" s="1235"/>
      <c r="C360" s="1236"/>
      <c r="D360" s="1236"/>
      <c r="E360" s="1236"/>
      <c r="F360" s="1237"/>
      <c r="G360" s="1252"/>
      <c r="H360" s="1252"/>
      <c r="I360" s="1252"/>
      <c r="J360" s="1415"/>
      <c r="K360" s="1252"/>
      <c r="L360" s="1276"/>
      <c r="M360" s="1372"/>
      <c r="N360" s="1393"/>
      <c r="O360" s="1373" t="s">
        <v>2025</v>
      </c>
      <c r="P360" s="1375" t="str">
        <f>IFERROR(VLOOKUP('別紙様式2-2（４・５月分）'!AQ272,【参考】数式用!$AR$5:$AT$22,3,FALSE),"")</f>
        <v/>
      </c>
      <c r="Q360" s="1377" t="s">
        <v>2036</v>
      </c>
      <c r="R360" s="1379" t="str">
        <f>IFERROR(VLOOKUP(K358,【参考】数式用!$A$5:$AB$37,MATCH(P360,【参考】数式用!$B$4:$AB$4,0)+1,0),"")</f>
        <v/>
      </c>
      <c r="S360" s="1381" t="s">
        <v>161</v>
      </c>
      <c r="T360" s="1383"/>
      <c r="U360" s="1385" t="str">
        <f>IFERROR(VLOOKUP(K358,【参考】数式用!$A$5:$AB$37,MATCH(T360,【参考】数式用!$B$4:$AB$4,0)+1,0),"")</f>
        <v/>
      </c>
      <c r="V360" s="1387" t="s">
        <v>15</v>
      </c>
      <c r="W360" s="1389">
        <v>7</v>
      </c>
      <c r="X360" s="1363" t="s">
        <v>10</v>
      </c>
      <c r="Y360" s="1389">
        <v>4</v>
      </c>
      <c r="Z360" s="1363" t="s">
        <v>38</v>
      </c>
      <c r="AA360" s="1389">
        <v>8</v>
      </c>
      <c r="AB360" s="1363" t="s">
        <v>10</v>
      </c>
      <c r="AC360" s="1389">
        <v>3</v>
      </c>
      <c r="AD360" s="1363" t="s">
        <v>13</v>
      </c>
      <c r="AE360" s="1363" t="s">
        <v>20</v>
      </c>
      <c r="AF360" s="1363">
        <f>IF(W360&gt;=1,(AA360*12+AC360)-(W360*12+Y360)+1,"")</f>
        <v>12</v>
      </c>
      <c r="AG360" s="1359" t="s">
        <v>33</v>
      </c>
      <c r="AH360" s="1365" t="str">
        <f t="shared" ref="AH360" si="948">IFERROR(ROUNDDOWN(ROUND(L358*U360,0),0)*AF360,"")</f>
        <v/>
      </c>
      <c r="AI360" s="1367" t="str">
        <f t="shared" ref="AI360" si="949">IFERROR(ROUNDDOWN(ROUND((L358*(U360-AW358)),0),0)*AF360,"")</f>
        <v/>
      </c>
      <c r="AJ360" s="1369">
        <f>IFERROR(IF(OR(M358="",M359="",M361=""),0,ROUNDDOWN(ROUNDDOWN(ROUND(L358*VLOOKUP(K358,【参考】数式用!$A$5:$AB$37,MATCH("新加算Ⅳ",【参考】数式用!$B$4:$AB$4,0)+1,0),0),0)*AF360*0.5,0)),"")</f>
        <v>0</v>
      </c>
      <c r="AK360" s="1339" t="str">
        <f t="shared" ref="AK360" si="950">IF(T360&lt;&gt;"","新規に適用","")</f>
        <v/>
      </c>
      <c r="AL360" s="1343">
        <f>IFERROR(IF(OR(M361="ベア加算",M361=""),0, IF(OR(T358="新加算Ⅰ",T358="新加算Ⅱ",T358="新加算Ⅲ",T358="新加算Ⅳ"),0,ROUNDDOWN(ROUND(L358*VLOOKUP(K358,【参考】数式用!$A$5:$I$37,MATCH("ベア加算",【参考】数式用!$B$4:$I$4,0)+1,0),0),0)*AF360)),"")</f>
        <v>0</v>
      </c>
      <c r="AM360" s="1313" t="str">
        <f>IF(AND(T360&lt;&gt;"",AM358=""),"新規に適用",IF(AND(T360&lt;&gt;"",AM358&lt;&gt;""),"継続で適用",""))</f>
        <v/>
      </c>
      <c r="AN360" s="1313" t="str">
        <f>IF(AND(T360&lt;&gt;"",AN358=""),"新規に適用",IF(AND(T360&lt;&gt;"",AN358&lt;&gt;""),"継続で適用",""))</f>
        <v/>
      </c>
      <c r="AO360" s="1361"/>
      <c r="AP360" s="1313" t="str">
        <f>IF(AND(T360&lt;&gt;"",AP358=""),"新規に適用",IF(AND(T360&lt;&gt;"",AP358&lt;&gt;""),"継続で適用",""))</f>
        <v/>
      </c>
      <c r="AQ360" s="1317"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13" t="str">
        <f>IF(AND(T360&lt;&gt;"",AR358=""),"新規に適用",IF(AND(T360&lt;&gt;"",AR358&lt;&gt;""),"継続で適用",""))</f>
        <v/>
      </c>
      <c r="AS360" s="1302"/>
      <c r="AT360" s="554"/>
      <c r="AU360" s="1303" t="str">
        <f>IF(K358&lt;&gt;"","V列に色付け","")</f>
        <v/>
      </c>
      <c r="AV360" s="1304"/>
      <c r="AW360" s="1305"/>
      <c r="AX360"/>
      <c r="AY360"/>
      <c r="AZ360"/>
      <c r="BA360"/>
      <c r="BB360"/>
      <c r="BC360"/>
      <c r="BD360"/>
      <c r="BE360"/>
      <c r="BF360"/>
      <c r="BG360"/>
      <c r="BH360"/>
      <c r="BI360"/>
      <c r="BJ360"/>
      <c r="BK360" s="452" t="str">
        <f>G358</f>
        <v/>
      </c>
    </row>
    <row r="361" spans="1:63" ht="30" customHeight="1" thickBot="1">
      <c r="A361" s="1268"/>
      <c r="B361" s="1411"/>
      <c r="C361" s="1412"/>
      <c r="D361" s="1412"/>
      <c r="E361" s="1412"/>
      <c r="F361" s="1413"/>
      <c r="G361" s="1253"/>
      <c r="H361" s="1253"/>
      <c r="I361" s="1253"/>
      <c r="J361" s="1416"/>
      <c r="K361" s="1253"/>
      <c r="L361" s="1277"/>
      <c r="M361" s="553" t="str">
        <f>IF('別紙様式2-2（４・５月分）'!P274="","",'別紙様式2-2（４・５月分）'!P274)</f>
        <v/>
      </c>
      <c r="N361" s="1394"/>
      <c r="O361" s="1374"/>
      <c r="P361" s="1376"/>
      <c r="Q361" s="1378"/>
      <c r="R361" s="1380"/>
      <c r="S361" s="1382"/>
      <c r="T361" s="1384"/>
      <c r="U361" s="1386"/>
      <c r="V361" s="1388"/>
      <c r="W361" s="1390"/>
      <c r="X361" s="1364"/>
      <c r="Y361" s="1390"/>
      <c r="Z361" s="1364"/>
      <c r="AA361" s="1390"/>
      <c r="AB361" s="1364"/>
      <c r="AC361" s="1390"/>
      <c r="AD361" s="1364"/>
      <c r="AE361" s="1364"/>
      <c r="AF361" s="1364"/>
      <c r="AG361" s="1360"/>
      <c r="AH361" s="1366"/>
      <c r="AI361" s="1368"/>
      <c r="AJ361" s="1370"/>
      <c r="AK361" s="1340"/>
      <c r="AL361" s="1344"/>
      <c r="AM361" s="1314"/>
      <c r="AN361" s="1314"/>
      <c r="AO361" s="1362"/>
      <c r="AP361" s="1314"/>
      <c r="AQ361" s="1318"/>
      <c r="AR361" s="1314"/>
      <c r="AS361" s="490"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4"/>
      <c r="AU361" s="1303"/>
      <c r="AV361" s="555" t="str">
        <f>IF('別紙様式2-2（４・５月分）'!N274="","",'別紙様式2-2（４・５月分）'!N274)</f>
        <v/>
      </c>
      <c r="AW361" s="1305"/>
      <c r="AX361"/>
      <c r="AY361"/>
      <c r="AZ361"/>
      <c r="BA361"/>
      <c r="BB361"/>
      <c r="BC361"/>
      <c r="BD361"/>
      <c r="BE361"/>
      <c r="BF361"/>
      <c r="BG361"/>
      <c r="BH361"/>
      <c r="BI361"/>
      <c r="BJ361"/>
      <c r="BK361" s="452" t="str">
        <f>G358</f>
        <v/>
      </c>
    </row>
    <row r="362" spans="1:63" ht="30" customHeight="1">
      <c r="A362" s="1293">
        <v>88</v>
      </c>
      <c r="B362" s="1235" t="str">
        <f>IF(基本情報入力シート!C141="","",基本情報入力シート!C141)</f>
        <v/>
      </c>
      <c r="C362" s="1236"/>
      <c r="D362" s="1236"/>
      <c r="E362" s="1236"/>
      <c r="F362" s="1237"/>
      <c r="G362" s="1252" t="str">
        <f>IF(基本情報入力シート!M141="","",基本情報入力シート!M141)</f>
        <v/>
      </c>
      <c r="H362" s="1252" t="str">
        <f>IF(基本情報入力シート!R141="","",基本情報入力シート!R141)</f>
        <v/>
      </c>
      <c r="I362" s="1252" t="str">
        <f>IF(基本情報入力シート!W141="","",基本情報入力シート!W141)</f>
        <v/>
      </c>
      <c r="J362" s="1415" t="str">
        <f>IF(基本情報入力シート!X141="","",基本情報入力シート!X141)</f>
        <v/>
      </c>
      <c r="K362" s="1252" t="str">
        <f>IF(基本情報入力シート!Y141="","",基本情報入力シート!Y141)</f>
        <v/>
      </c>
      <c r="L362" s="1276" t="str">
        <f>IF(基本情報入力シート!AB141="","",基本情報入力シート!AB141)</f>
        <v/>
      </c>
      <c r="M362" s="550" t="str">
        <f>IF('別紙様式2-2（４・５月分）'!P275="","",'別紙様式2-2（４・５月分）'!P275)</f>
        <v/>
      </c>
      <c r="N362" s="1391" t="str">
        <f>IF(SUM('別紙様式2-2（４・５月分）'!Q275:Q277)=0,"",SUM('別紙様式2-2（４・５月分）'!Q275:Q277))</f>
        <v/>
      </c>
      <c r="O362" s="1395" t="str">
        <f>IFERROR(VLOOKUP('別紙様式2-2（４・５月分）'!AQ275,【参考】数式用!$AR$5:$AS$22,2,FALSE),"")</f>
        <v/>
      </c>
      <c r="P362" s="1396"/>
      <c r="Q362" s="1397"/>
      <c r="R362" s="1401" t="str">
        <f>IFERROR(VLOOKUP(K362,【参考】数式用!$A$5:$AB$37,MATCH(O362,【参考】数式用!$B$4:$AB$4,0)+1,0),"")</f>
        <v/>
      </c>
      <c r="S362" s="1403" t="s">
        <v>2021</v>
      </c>
      <c r="T362" s="1405"/>
      <c r="U362" s="1407" t="str">
        <f>IFERROR(VLOOKUP(K362,【参考】数式用!$A$5:$AB$37,MATCH(T362,【参考】数式用!$B$4:$AB$4,0)+1,0),"")</f>
        <v/>
      </c>
      <c r="V362" s="1409" t="s">
        <v>15</v>
      </c>
      <c r="W362" s="1347">
        <v>6</v>
      </c>
      <c r="X362" s="1349" t="s">
        <v>10</v>
      </c>
      <c r="Y362" s="1347">
        <v>6</v>
      </c>
      <c r="Z362" s="1349" t="s">
        <v>38</v>
      </c>
      <c r="AA362" s="1347">
        <v>7</v>
      </c>
      <c r="AB362" s="1349" t="s">
        <v>10</v>
      </c>
      <c r="AC362" s="1347">
        <v>3</v>
      </c>
      <c r="AD362" s="1349" t="s">
        <v>13</v>
      </c>
      <c r="AE362" s="1349" t="s">
        <v>20</v>
      </c>
      <c r="AF362" s="1349">
        <f>IF(W362&gt;=1,(AA362*12+AC362)-(W362*12+Y362)+1,"")</f>
        <v>10</v>
      </c>
      <c r="AG362" s="1351" t="s">
        <v>33</v>
      </c>
      <c r="AH362" s="1353" t="str">
        <f t="shared" ref="AH362" si="953">IFERROR(ROUNDDOWN(ROUND(L362*U362,0),0)*AF362,"")</f>
        <v/>
      </c>
      <c r="AI362" s="1355" t="str">
        <f t="shared" ref="AI362" si="954">IFERROR(ROUNDDOWN(ROUND((L362*(U362-AW362)),0),0)*AF362,"")</f>
        <v/>
      </c>
      <c r="AJ362" s="1357">
        <f>IFERROR(IF(OR(M362="",M363="",M365=""),0,ROUNDDOWN(ROUNDDOWN(ROUND(L362*VLOOKUP(K362,【参考】数式用!$A$5:$AB$37,MATCH("新加算Ⅳ",【参考】数式用!$B$4:$AB$4,0)+1,0),0),0)*AF362*0.5,0)),"")</f>
        <v>0</v>
      </c>
      <c r="AK362" s="1341"/>
      <c r="AL362" s="1345">
        <f>IFERROR(IF(OR(M365="ベア加算",M365=""),0, IF(OR(T362="新加算Ⅰ",T362="新加算Ⅱ",T362="新加算Ⅲ",T362="新加算Ⅳ"),ROUNDDOWN(ROUND(L362*VLOOKUP(K362,【参考】数式用!$A$5:$I$37,MATCH("ベア加算",【参考】数式用!$B$4:$I$4,0)+1,0),0),0)*AF362,0)),"")</f>
        <v>0</v>
      </c>
      <c r="AM362" s="1331"/>
      <c r="AN362" s="1337"/>
      <c r="AO362" s="1333"/>
      <c r="AP362" s="1333"/>
      <c r="AQ362" s="1335"/>
      <c r="AR362" s="1315"/>
      <c r="AS362" s="465" t="str">
        <f t="shared" ref="AS362" si="955">IF(AU362="","",IF(U362&lt;N362,"！加算の要件上は問題ありませんが、令和６年４・５月と比較して令和６年６月に加算率が下がる計画になっています。",""))</f>
        <v/>
      </c>
      <c r="AT362" s="554"/>
      <c r="AU362" s="1303" t="str">
        <f>IF(K362&lt;&gt;"","V列に色付け","")</f>
        <v/>
      </c>
      <c r="AV362" s="555" t="str">
        <f>IF('別紙様式2-2（４・５月分）'!N275="","",'別紙様式2-2（４・５月分）'!N275)</f>
        <v/>
      </c>
      <c r="AW362" s="1305" t="str">
        <f>IF(SUM('別紙様式2-2（４・５月分）'!O275:O277)=0,"",SUM('別紙様式2-2（４・５月分）'!O275:O277))</f>
        <v/>
      </c>
      <c r="AX362" s="1306" t="str">
        <f>IFERROR(VLOOKUP(K362,【参考】数式用!$AH$2:$AI$34,2,FALSE),"")</f>
        <v/>
      </c>
      <c r="AY362" s="1222" t="s">
        <v>1959</v>
      </c>
      <c r="AZ362" s="1222" t="s">
        <v>1960</v>
      </c>
      <c r="BA362" s="1222" t="s">
        <v>1961</v>
      </c>
      <c r="BB362" s="1222" t="s">
        <v>1962</v>
      </c>
      <c r="BC362" s="1222" t="str">
        <f>IF(AND(O362&lt;&gt;"新加算Ⅰ",O362&lt;&gt;"新加算Ⅱ",O362&lt;&gt;"新加算Ⅲ",O362&lt;&gt;"新加算Ⅳ"),O362,IF(P364&lt;&gt;"",P364,""))</f>
        <v/>
      </c>
      <c r="BD362" s="1222"/>
      <c r="BE362" s="1222" t="str">
        <f t="shared" ref="BE362" si="956">IF(AL362&lt;&gt;0,IF(AM362="○","入力済","未入力"),"")</f>
        <v/>
      </c>
      <c r="BF362" s="1222"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2" t="str">
        <f>IF(OR(T362="新加算Ⅴ（７）",T362="新加算Ⅴ（９）",T362="新加算Ⅴ（10）",T362="新加算Ⅴ（12）",T362="新加算Ⅴ（13）",T362="新加算Ⅴ（14）"),IF(OR(AO362="○",AO362="令和６年度中に満たす"),"入力済","未入力"),"")</f>
        <v/>
      </c>
      <c r="BH362" s="1323" t="str">
        <f t="shared" ref="BH362" si="957">IF(OR(T362="新加算Ⅰ",T362="新加算Ⅱ",T362="新加算Ⅲ",T362="新加算Ⅴ（１）",T362="新加算Ⅴ（３）",T362="新加算Ⅴ（８）"),IF(OR(AP362="○",AP362="令和６年度中に満たす"),"入力済","未入力"),"")</f>
        <v/>
      </c>
      <c r="BI362" s="1325" t="str">
        <f t="shared" ref="BI362" si="958">IF(OR(T362="新加算Ⅰ",T362="新加算Ⅱ",T362="新加算Ⅴ（１）",T362="新加算Ⅴ（２）",T362="新加算Ⅴ（３）",T362="新加算Ⅴ（４）",T362="新加算Ⅴ（５）",T362="新加算Ⅴ（６）",T362="新加算Ⅴ（７）",T362="新加算Ⅴ（９）",T362="新加算Ⅴ（10）",T362="新加算Ⅴ（12）"),1,"")</f>
        <v/>
      </c>
      <c r="BJ362" s="1303" t="str">
        <f>IF(OR(T362="新加算Ⅰ",T362="新加算Ⅴ（１）",T362="新加算Ⅴ（２）",T362="新加算Ⅴ（５）",T362="新加算Ⅴ（７）",T362="新加算Ⅴ（10）"),IF(AR362="","未入力","入力済"),"")</f>
        <v/>
      </c>
      <c r="BK362" s="452" t="str">
        <f>G362</f>
        <v/>
      </c>
    </row>
    <row r="363" spans="1:63" ht="15" customHeight="1">
      <c r="A363" s="1267"/>
      <c r="B363" s="1235"/>
      <c r="C363" s="1236"/>
      <c r="D363" s="1236"/>
      <c r="E363" s="1236"/>
      <c r="F363" s="1237"/>
      <c r="G363" s="1252"/>
      <c r="H363" s="1252"/>
      <c r="I363" s="1252"/>
      <c r="J363" s="1415"/>
      <c r="K363" s="1252"/>
      <c r="L363" s="1276"/>
      <c r="M363" s="1371" t="str">
        <f>IF('別紙様式2-2（４・５月分）'!P276="","",'別紙様式2-2（４・５月分）'!P276)</f>
        <v/>
      </c>
      <c r="N363" s="1392"/>
      <c r="O363" s="1398"/>
      <c r="P363" s="1399"/>
      <c r="Q363" s="1400"/>
      <c r="R363" s="1402"/>
      <c r="S363" s="1404"/>
      <c r="T363" s="1406"/>
      <c r="U363" s="1408"/>
      <c r="V363" s="1410"/>
      <c r="W363" s="1348"/>
      <c r="X363" s="1350"/>
      <c r="Y363" s="1348"/>
      <c r="Z363" s="1350"/>
      <c r="AA363" s="1348"/>
      <c r="AB363" s="1350"/>
      <c r="AC363" s="1348"/>
      <c r="AD363" s="1350"/>
      <c r="AE363" s="1350"/>
      <c r="AF363" s="1350"/>
      <c r="AG363" s="1352"/>
      <c r="AH363" s="1354"/>
      <c r="AI363" s="1356"/>
      <c r="AJ363" s="1358"/>
      <c r="AK363" s="1342"/>
      <c r="AL363" s="1346"/>
      <c r="AM363" s="1332"/>
      <c r="AN363" s="1338"/>
      <c r="AO363" s="1334"/>
      <c r="AP363" s="1334"/>
      <c r="AQ363" s="1336"/>
      <c r="AR363" s="1316"/>
      <c r="AS363" s="1302"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4"/>
      <c r="AU363" s="1303"/>
      <c r="AV363" s="1304" t="str">
        <f>IF('別紙様式2-2（４・５月分）'!N276="","",'別紙様式2-2（４・５月分）'!N276)</f>
        <v/>
      </c>
      <c r="AW363" s="1305"/>
      <c r="AX363" s="1306"/>
      <c r="AY363" s="1222"/>
      <c r="AZ363" s="1222"/>
      <c r="BA363" s="1222"/>
      <c r="BB363" s="1222"/>
      <c r="BC363" s="1222"/>
      <c r="BD363" s="1222"/>
      <c r="BE363" s="1222"/>
      <c r="BF363" s="1222"/>
      <c r="BG363" s="1222"/>
      <c r="BH363" s="1324"/>
      <c r="BI363" s="1326"/>
      <c r="BJ363" s="1303"/>
      <c r="BK363" s="452" t="str">
        <f>G362</f>
        <v/>
      </c>
    </row>
    <row r="364" spans="1:63" ht="15" customHeight="1">
      <c r="A364" s="1295"/>
      <c r="B364" s="1235"/>
      <c r="C364" s="1236"/>
      <c r="D364" s="1236"/>
      <c r="E364" s="1236"/>
      <c r="F364" s="1237"/>
      <c r="G364" s="1252"/>
      <c r="H364" s="1252"/>
      <c r="I364" s="1252"/>
      <c r="J364" s="1415"/>
      <c r="K364" s="1252"/>
      <c r="L364" s="1276"/>
      <c r="M364" s="1372"/>
      <c r="N364" s="1393"/>
      <c r="O364" s="1373" t="s">
        <v>2025</v>
      </c>
      <c r="P364" s="1375" t="str">
        <f>IFERROR(VLOOKUP('別紙様式2-2（４・５月分）'!AQ275,【参考】数式用!$AR$5:$AT$22,3,FALSE),"")</f>
        <v/>
      </c>
      <c r="Q364" s="1377" t="s">
        <v>2036</v>
      </c>
      <c r="R364" s="1379" t="str">
        <f>IFERROR(VLOOKUP(K362,【参考】数式用!$A$5:$AB$37,MATCH(P364,【参考】数式用!$B$4:$AB$4,0)+1,0),"")</f>
        <v/>
      </c>
      <c r="S364" s="1381" t="s">
        <v>161</v>
      </c>
      <c r="T364" s="1383"/>
      <c r="U364" s="1385" t="str">
        <f>IFERROR(VLOOKUP(K362,【参考】数式用!$A$5:$AB$37,MATCH(T364,【参考】数式用!$B$4:$AB$4,0)+1,0),"")</f>
        <v/>
      </c>
      <c r="V364" s="1387" t="s">
        <v>15</v>
      </c>
      <c r="W364" s="1389">
        <v>7</v>
      </c>
      <c r="X364" s="1363" t="s">
        <v>10</v>
      </c>
      <c r="Y364" s="1389">
        <v>4</v>
      </c>
      <c r="Z364" s="1363" t="s">
        <v>38</v>
      </c>
      <c r="AA364" s="1389">
        <v>8</v>
      </c>
      <c r="AB364" s="1363" t="s">
        <v>10</v>
      </c>
      <c r="AC364" s="1389">
        <v>3</v>
      </c>
      <c r="AD364" s="1363" t="s">
        <v>13</v>
      </c>
      <c r="AE364" s="1363" t="s">
        <v>20</v>
      </c>
      <c r="AF364" s="1363">
        <f>IF(W364&gt;=1,(AA364*12+AC364)-(W364*12+Y364)+1,"")</f>
        <v>12</v>
      </c>
      <c r="AG364" s="1359" t="s">
        <v>33</v>
      </c>
      <c r="AH364" s="1365" t="str">
        <f t="shared" ref="AH364" si="960">IFERROR(ROUNDDOWN(ROUND(L362*U364,0),0)*AF364,"")</f>
        <v/>
      </c>
      <c r="AI364" s="1367" t="str">
        <f t="shared" ref="AI364" si="961">IFERROR(ROUNDDOWN(ROUND((L362*(U364-AW362)),0),0)*AF364,"")</f>
        <v/>
      </c>
      <c r="AJ364" s="1369">
        <f>IFERROR(IF(OR(M362="",M363="",M365=""),0,ROUNDDOWN(ROUNDDOWN(ROUND(L362*VLOOKUP(K362,【参考】数式用!$A$5:$AB$37,MATCH("新加算Ⅳ",【参考】数式用!$B$4:$AB$4,0)+1,0),0),0)*AF364*0.5,0)),"")</f>
        <v>0</v>
      </c>
      <c r="AK364" s="1339" t="str">
        <f t="shared" ref="AK364" si="962">IF(T364&lt;&gt;"","新規に適用","")</f>
        <v/>
      </c>
      <c r="AL364" s="1343">
        <f>IFERROR(IF(OR(M365="ベア加算",M365=""),0, IF(OR(T362="新加算Ⅰ",T362="新加算Ⅱ",T362="新加算Ⅲ",T362="新加算Ⅳ"),0,ROUNDDOWN(ROUND(L362*VLOOKUP(K362,【参考】数式用!$A$5:$I$37,MATCH("ベア加算",【参考】数式用!$B$4:$I$4,0)+1,0),0),0)*AF364)),"")</f>
        <v>0</v>
      </c>
      <c r="AM364" s="1313" t="str">
        <f>IF(AND(T364&lt;&gt;"",AM362=""),"新規に適用",IF(AND(T364&lt;&gt;"",AM362&lt;&gt;""),"継続で適用",""))</f>
        <v/>
      </c>
      <c r="AN364" s="1313" t="str">
        <f>IF(AND(T364&lt;&gt;"",AN362=""),"新規に適用",IF(AND(T364&lt;&gt;"",AN362&lt;&gt;""),"継続で適用",""))</f>
        <v/>
      </c>
      <c r="AO364" s="1361"/>
      <c r="AP364" s="1313" t="str">
        <f>IF(AND(T364&lt;&gt;"",AP362=""),"新規に適用",IF(AND(T364&lt;&gt;"",AP362&lt;&gt;""),"継続で適用",""))</f>
        <v/>
      </c>
      <c r="AQ364" s="1317" t="str">
        <f t="shared" si="951"/>
        <v/>
      </c>
      <c r="AR364" s="1313" t="str">
        <f>IF(AND(T364&lt;&gt;"",AR362=""),"新規に適用",IF(AND(T364&lt;&gt;"",AR362&lt;&gt;""),"継続で適用",""))</f>
        <v/>
      </c>
      <c r="AS364" s="1302"/>
      <c r="AT364" s="554"/>
      <c r="AU364" s="1303" t="str">
        <f>IF(K362&lt;&gt;"","V列に色付け","")</f>
        <v/>
      </c>
      <c r="AV364" s="1304"/>
      <c r="AW364" s="1305"/>
      <c r="AX364"/>
      <c r="AY364"/>
      <c r="AZ364"/>
      <c r="BA364"/>
      <c r="BB364"/>
      <c r="BC364"/>
      <c r="BD364"/>
      <c r="BE364"/>
      <c r="BF364"/>
      <c r="BG364"/>
      <c r="BH364"/>
      <c r="BI364"/>
      <c r="BJ364"/>
      <c r="BK364" s="452" t="str">
        <f>G362</f>
        <v/>
      </c>
    </row>
    <row r="365" spans="1:63" ht="30" customHeight="1" thickBot="1">
      <c r="A365" s="1268"/>
      <c r="B365" s="1411"/>
      <c r="C365" s="1412"/>
      <c r="D365" s="1412"/>
      <c r="E365" s="1412"/>
      <c r="F365" s="1413"/>
      <c r="G365" s="1253"/>
      <c r="H365" s="1253"/>
      <c r="I365" s="1253"/>
      <c r="J365" s="1416"/>
      <c r="K365" s="1253"/>
      <c r="L365" s="1277"/>
      <c r="M365" s="553" t="str">
        <f>IF('別紙様式2-2（４・５月分）'!P277="","",'別紙様式2-2（４・５月分）'!P277)</f>
        <v/>
      </c>
      <c r="N365" s="1394"/>
      <c r="O365" s="1374"/>
      <c r="P365" s="1376"/>
      <c r="Q365" s="1378"/>
      <c r="R365" s="1380"/>
      <c r="S365" s="1382"/>
      <c r="T365" s="1384"/>
      <c r="U365" s="1386"/>
      <c r="V365" s="1388"/>
      <c r="W365" s="1390"/>
      <c r="X365" s="1364"/>
      <c r="Y365" s="1390"/>
      <c r="Z365" s="1364"/>
      <c r="AA365" s="1390"/>
      <c r="AB365" s="1364"/>
      <c r="AC365" s="1390"/>
      <c r="AD365" s="1364"/>
      <c r="AE365" s="1364"/>
      <c r="AF365" s="1364"/>
      <c r="AG365" s="1360"/>
      <c r="AH365" s="1366"/>
      <c r="AI365" s="1368"/>
      <c r="AJ365" s="1370"/>
      <c r="AK365" s="1340"/>
      <c r="AL365" s="1344"/>
      <c r="AM365" s="1314"/>
      <c r="AN365" s="1314"/>
      <c r="AO365" s="1362"/>
      <c r="AP365" s="1314"/>
      <c r="AQ365" s="1318"/>
      <c r="AR365" s="1314"/>
      <c r="AS365" s="490"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4"/>
      <c r="AU365" s="1303"/>
      <c r="AV365" s="555" t="str">
        <f>IF('別紙様式2-2（４・５月分）'!N277="","",'別紙様式2-2（４・５月分）'!N277)</f>
        <v/>
      </c>
      <c r="AW365" s="1305"/>
      <c r="AX365"/>
      <c r="AY365"/>
      <c r="AZ365"/>
      <c r="BA365"/>
      <c r="BB365"/>
      <c r="BC365"/>
      <c r="BD365"/>
      <c r="BE365"/>
      <c r="BF365"/>
      <c r="BG365"/>
      <c r="BH365"/>
      <c r="BI365"/>
      <c r="BJ365"/>
      <c r="BK365" s="452" t="str">
        <f>G362</f>
        <v/>
      </c>
    </row>
    <row r="366" spans="1:63" ht="30" customHeight="1">
      <c r="A366" s="1266">
        <v>89</v>
      </c>
      <c r="B366" s="1232" t="str">
        <f>IF(基本情報入力シート!C142="","",基本情報入力シート!C142)</f>
        <v/>
      </c>
      <c r="C366" s="1233"/>
      <c r="D366" s="1233"/>
      <c r="E366" s="1233"/>
      <c r="F366" s="1234"/>
      <c r="G366" s="1251" t="str">
        <f>IF(基本情報入力シート!M142="","",基本情報入力シート!M142)</f>
        <v/>
      </c>
      <c r="H366" s="1251" t="str">
        <f>IF(基本情報入力シート!R142="","",基本情報入力シート!R142)</f>
        <v/>
      </c>
      <c r="I366" s="1251" t="str">
        <f>IF(基本情報入力シート!W142="","",基本情報入力シート!W142)</f>
        <v/>
      </c>
      <c r="J366" s="1414" t="str">
        <f>IF(基本情報入力シート!X142="","",基本情報入力シート!X142)</f>
        <v/>
      </c>
      <c r="K366" s="1251" t="str">
        <f>IF(基本情報入力シート!Y142="","",基本情報入力シート!Y142)</f>
        <v/>
      </c>
      <c r="L366" s="1275" t="str">
        <f>IF(基本情報入力シート!AB142="","",基本情報入力シート!AB142)</f>
        <v/>
      </c>
      <c r="M366" s="550" t="str">
        <f>IF('別紙様式2-2（４・５月分）'!P278="","",'別紙様式2-2（４・５月分）'!P278)</f>
        <v/>
      </c>
      <c r="N366" s="1391" t="str">
        <f>IF(SUM('別紙様式2-2（４・５月分）'!Q278:Q280)=0,"",SUM('別紙様式2-2（４・５月分）'!Q278:Q280))</f>
        <v/>
      </c>
      <c r="O366" s="1395" t="str">
        <f>IFERROR(VLOOKUP('別紙様式2-2（４・５月分）'!AQ278,【参考】数式用!$AR$5:$AS$22,2,FALSE),"")</f>
        <v/>
      </c>
      <c r="P366" s="1396"/>
      <c r="Q366" s="1397"/>
      <c r="R366" s="1401" t="str">
        <f>IFERROR(VLOOKUP(K366,【参考】数式用!$A$5:$AB$37,MATCH(O366,【参考】数式用!$B$4:$AB$4,0)+1,0),"")</f>
        <v/>
      </c>
      <c r="S366" s="1403" t="s">
        <v>2021</v>
      </c>
      <c r="T366" s="1405"/>
      <c r="U366" s="1407" t="str">
        <f>IFERROR(VLOOKUP(K366,【参考】数式用!$A$5:$AB$37,MATCH(T366,【参考】数式用!$B$4:$AB$4,0)+1,0),"")</f>
        <v/>
      </c>
      <c r="V366" s="1409" t="s">
        <v>15</v>
      </c>
      <c r="W366" s="1347">
        <v>6</v>
      </c>
      <c r="X366" s="1349" t="s">
        <v>10</v>
      </c>
      <c r="Y366" s="1347">
        <v>6</v>
      </c>
      <c r="Z366" s="1349" t="s">
        <v>38</v>
      </c>
      <c r="AA366" s="1347">
        <v>7</v>
      </c>
      <c r="AB366" s="1349" t="s">
        <v>10</v>
      </c>
      <c r="AC366" s="1347">
        <v>3</v>
      </c>
      <c r="AD366" s="1349" t="s">
        <v>13</v>
      </c>
      <c r="AE366" s="1349" t="s">
        <v>20</v>
      </c>
      <c r="AF366" s="1349">
        <f>IF(W366&gt;=1,(AA366*12+AC366)-(W366*12+Y366)+1,"")</f>
        <v>10</v>
      </c>
      <c r="AG366" s="1351" t="s">
        <v>33</v>
      </c>
      <c r="AH366" s="1353" t="str">
        <f t="shared" ref="AH366" si="964">IFERROR(ROUNDDOWN(ROUND(L366*U366,0),0)*AF366,"")</f>
        <v/>
      </c>
      <c r="AI366" s="1355" t="str">
        <f t="shared" ref="AI366" si="965">IFERROR(ROUNDDOWN(ROUND((L366*(U366-AW366)),0),0)*AF366,"")</f>
        <v/>
      </c>
      <c r="AJ366" s="1357">
        <f>IFERROR(IF(OR(M366="",M367="",M369=""),0,ROUNDDOWN(ROUNDDOWN(ROUND(L366*VLOOKUP(K366,【参考】数式用!$A$5:$AB$37,MATCH("新加算Ⅳ",【参考】数式用!$B$4:$AB$4,0)+1,0),0),0)*AF366*0.5,0)),"")</f>
        <v>0</v>
      </c>
      <c r="AK366" s="1341"/>
      <c r="AL366" s="1345">
        <f>IFERROR(IF(OR(M369="ベア加算",M369=""),0, IF(OR(T366="新加算Ⅰ",T366="新加算Ⅱ",T366="新加算Ⅲ",T366="新加算Ⅳ"),ROUNDDOWN(ROUND(L366*VLOOKUP(K366,【参考】数式用!$A$5:$I$37,MATCH("ベア加算",【参考】数式用!$B$4:$I$4,0)+1,0),0),0)*AF366,0)),"")</f>
        <v>0</v>
      </c>
      <c r="AM366" s="1331"/>
      <c r="AN366" s="1337"/>
      <c r="AO366" s="1333"/>
      <c r="AP366" s="1333"/>
      <c r="AQ366" s="1335"/>
      <c r="AR366" s="1315"/>
      <c r="AS366" s="465" t="str">
        <f t="shared" ref="AS366" si="966">IF(AU366="","",IF(U366&lt;N366,"！加算の要件上は問題ありませんが、令和６年４・５月と比較して令和６年６月に加算率が下がる計画になっています。",""))</f>
        <v/>
      </c>
      <c r="AT366" s="554"/>
      <c r="AU366" s="1303" t="str">
        <f>IF(K366&lt;&gt;"","V列に色付け","")</f>
        <v/>
      </c>
      <c r="AV366" s="555" t="str">
        <f>IF('別紙様式2-2（４・５月分）'!N278="","",'別紙様式2-2（４・５月分）'!N278)</f>
        <v/>
      </c>
      <c r="AW366" s="1305" t="str">
        <f>IF(SUM('別紙様式2-2（４・５月分）'!O278:O280)=0,"",SUM('別紙様式2-2（４・５月分）'!O278:O280))</f>
        <v/>
      </c>
      <c r="AX366" s="1306" t="str">
        <f>IFERROR(VLOOKUP(K366,【参考】数式用!$AH$2:$AI$34,2,FALSE),"")</f>
        <v/>
      </c>
      <c r="AY366" s="1222" t="s">
        <v>1959</v>
      </c>
      <c r="AZ366" s="1222" t="s">
        <v>1960</v>
      </c>
      <c r="BA366" s="1222" t="s">
        <v>1961</v>
      </c>
      <c r="BB366" s="1222" t="s">
        <v>1962</v>
      </c>
      <c r="BC366" s="1222" t="str">
        <f>IF(AND(O366&lt;&gt;"新加算Ⅰ",O366&lt;&gt;"新加算Ⅱ",O366&lt;&gt;"新加算Ⅲ",O366&lt;&gt;"新加算Ⅳ"),O366,IF(P368&lt;&gt;"",P368,""))</f>
        <v/>
      </c>
      <c r="BD366" s="1222"/>
      <c r="BE366" s="1222" t="str">
        <f t="shared" ref="BE366" si="967">IF(AL366&lt;&gt;0,IF(AM366="○","入力済","未入力"),"")</f>
        <v/>
      </c>
      <c r="BF366" s="1222"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2" t="str">
        <f>IF(OR(T366="新加算Ⅴ（７）",T366="新加算Ⅴ（９）",T366="新加算Ⅴ（10）",T366="新加算Ⅴ（12）",T366="新加算Ⅴ（13）",T366="新加算Ⅴ（14）"),IF(OR(AO366="○",AO366="令和６年度中に満たす"),"入力済","未入力"),"")</f>
        <v/>
      </c>
      <c r="BH366" s="1323" t="str">
        <f t="shared" ref="BH366" si="968">IF(OR(T366="新加算Ⅰ",T366="新加算Ⅱ",T366="新加算Ⅲ",T366="新加算Ⅴ（１）",T366="新加算Ⅴ（３）",T366="新加算Ⅴ（８）"),IF(OR(AP366="○",AP366="令和６年度中に満たす"),"入力済","未入力"),"")</f>
        <v/>
      </c>
      <c r="BI366" s="1325" t="str">
        <f t="shared" ref="BI366" si="969">IF(OR(T366="新加算Ⅰ",T366="新加算Ⅱ",T366="新加算Ⅴ（１）",T366="新加算Ⅴ（２）",T366="新加算Ⅴ（３）",T366="新加算Ⅴ（４）",T366="新加算Ⅴ（５）",T366="新加算Ⅴ（６）",T366="新加算Ⅴ（７）",T366="新加算Ⅴ（９）",T366="新加算Ⅴ（10）",T366="新加算Ⅴ（12）"),1,"")</f>
        <v/>
      </c>
      <c r="BJ366" s="1303" t="str">
        <f>IF(OR(T366="新加算Ⅰ",T366="新加算Ⅴ（１）",T366="新加算Ⅴ（２）",T366="新加算Ⅴ（５）",T366="新加算Ⅴ（７）",T366="新加算Ⅴ（10）"),IF(AR366="","未入力","入力済"),"")</f>
        <v/>
      </c>
      <c r="BK366" s="452" t="str">
        <f>G366</f>
        <v/>
      </c>
    </row>
    <row r="367" spans="1:63" ht="15" customHeight="1">
      <c r="A367" s="1267"/>
      <c r="B367" s="1235"/>
      <c r="C367" s="1236"/>
      <c r="D367" s="1236"/>
      <c r="E367" s="1236"/>
      <c r="F367" s="1237"/>
      <c r="G367" s="1252"/>
      <c r="H367" s="1252"/>
      <c r="I367" s="1252"/>
      <c r="J367" s="1415"/>
      <c r="K367" s="1252"/>
      <c r="L367" s="1276"/>
      <c r="M367" s="1371" t="str">
        <f>IF('別紙様式2-2（４・５月分）'!P279="","",'別紙様式2-2（４・５月分）'!P279)</f>
        <v/>
      </c>
      <c r="N367" s="1392"/>
      <c r="O367" s="1398"/>
      <c r="P367" s="1399"/>
      <c r="Q367" s="1400"/>
      <c r="R367" s="1402"/>
      <c r="S367" s="1404"/>
      <c r="T367" s="1406"/>
      <c r="U367" s="1408"/>
      <c r="V367" s="1410"/>
      <c r="W367" s="1348"/>
      <c r="X367" s="1350"/>
      <c r="Y367" s="1348"/>
      <c r="Z367" s="1350"/>
      <c r="AA367" s="1348"/>
      <c r="AB367" s="1350"/>
      <c r="AC367" s="1348"/>
      <c r="AD367" s="1350"/>
      <c r="AE367" s="1350"/>
      <c r="AF367" s="1350"/>
      <c r="AG367" s="1352"/>
      <c r="AH367" s="1354"/>
      <c r="AI367" s="1356"/>
      <c r="AJ367" s="1358"/>
      <c r="AK367" s="1342"/>
      <c r="AL367" s="1346"/>
      <c r="AM367" s="1332"/>
      <c r="AN367" s="1338"/>
      <c r="AO367" s="1334"/>
      <c r="AP367" s="1334"/>
      <c r="AQ367" s="1336"/>
      <c r="AR367" s="1316"/>
      <c r="AS367" s="1302"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4"/>
      <c r="AU367" s="1303"/>
      <c r="AV367" s="1304" t="str">
        <f>IF('別紙様式2-2（４・５月分）'!N279="","",'別紙様式2-2（４・５月分）'!N279)</f>
        <v/>
      </c>
      <c r="AW367" s="1305"/>
      <c r="AX367" s="1306"/>
      <c r="AY367" s="1222"/>
      <c r="AZ367" s="1222"/>
      <c r="BA367" s="1222"/>
      <c r="BB367" s="1222"/>
      <c r="BC367" s="1222"/>
      <c r="BD367" s="1222"/>
      <c r="BE367" s="1222"/>
      <c r="BF367" s="1222"/>
      <c r="BG367" s="1222"/>
      <c r="BH367" s="1324"/>
      <c r="BI367" s="1326"/>
      <c r="BJ367" s="1303"/>
      <c r="BK367" s="452" t="str">
        <f>G366</f>
        <v/>
      </c>
    </row>
    <row r="368" spans="1:63" ht="15" customHeight="1">
      <c r="A368" s="1295"/>
      <c r="B368" s="1235"/>
      <c r="C368" s="1236"/>
      <c r="D368" s="1236"/>
      <c r="E368" s="1236"/>
      <c r="F368" s="1237"/>
      <c r="G368" s="1252"/>
      <c r="H368" s="1252"/>
      <c r="I368" s="1252"/>
      <c r="J368" s="1415"/>
      <c r="K368" s="1252"/>
      <c r="L368" s="1276"/>
      <c r="M368" s="1372"/>
      <c r="N368" s="1393"/>
      <c r="O368" s="1373" t="s">
        <v>2025</v>
      </c>
      <c r="P368" s="1375" t="str">
        <f>IFERROR(VLOOKUP('別紙様式2-2（４・５月分）'!AQ278,【参考】数式用!$AR$5:$AT$22,3,FALSE),"")</f>
        <v/>
      </c>
      <c r="Q368" s="1377" t="s">
        <v>2036</v>
      </c>
      <c r="R368" s="1379" t="str">
        <f>IFERROR(VLOOKUP(K366,【参考】数式用!$A$5:$AB$37,MATCH(P368,【参考】数式用!$B$4:$AB$4,0)+1,0),"")</f>
        <v/>
      </c>
      <c r="S368" s="1381" t="s">
        <v>161</v>
      </c>
      <c r="T368" s="1383"/>
      <c r="U368" s="1385" t="str">
        <f>IFERROR(VLOOKUP(K366,【参考】数式用!$A$5:$AB$37,MATCH(T368,【参考】数式用!$B$4:$AB$4,0)+1,0),"")</f>
        <v/>
      </c>
      <c r="V368" s="1387" t="s">
        <v>15</v>
      </c>
      <c r="W368" s="1389">
        <v>7</v>
      </c>
      <c r="X368" s="1363" t="s">
        <v>10</v>
      </c>
      <c r="Y368" s="1389">
        <v>4</v>
      </c>
      <c r="Z368" s="1363" t="s">
        <v>38</v>
      </c>
      <c r="AA368" s="1389">
        <v>8</v>
      </c>
      <c r="AB368" s="1363" t="s">
        <v>10</v>
      </c>
      <c r="AC368" s="1389">
        <v>3</v>
      </c>
      <c r="AD368" s="1363" t="s">
        <v>13</v>
      </c>
      <c r="AE368" s="1363" t="s">
        <v>20</v>
      </c>
      <c r="AF368" s="1363">
        <f>IF(W368&gt;=1,(AA368*12+AC368)-(W368*12+Y368)+1,"")</f>
        <v>12</v>
      </c>
      <c r="AG368" s="1359" t="s">
        <v>33</v>
      </c>
      <c r="AH368" s="1365" t="str">
        <f t="shared" ref="AH368" si="971">IFERROR(ROUNDDOWN(ROUND(L366*U368,0),0)*AF368,"")</f>
        <v/>
      </c>
      <c r="AI368" s="1367" t="str">
        <f t="shared" ref="AI368" si="972">IFERROR(ROUNDDOWN(ROUND((L366*(U368-AW366)),0),0)*AF368,"")</f>
        <v/>
      </c>
      <c r="AJ368" s="1369">
        <f>IFERROR(IF(OR(M366="",M367="",M369=""),0,ROUNDDOWN(ROUNDDOWN(ROUND(L366*VLOOKUP(K366,【参考】数式用!$A$5:$AB$37,MATCH("新加算Ⅳ",【参考】数式用!$B$4:$AB$4,0)+1,0),0),0)*AF368*0.5,0)),"")</f>
        <v>0</v>
      </c>
      <c r="AK368" s="1339" t="str">
        <f t="shared" ref="AK368" si="973">IF(T368&lt;&gt;"","新規に適用","")</f>
        <v/>
      </c>
      <c r="AL368" s="1343">
        <f>IFERROR(IF(OR(M369="ベア加算",M369=""),0, IF(OR(T366="新加算Ⅰ",T366="新加算Ⅱ",T366="新加算Ⅲ",T366="新加算Ⅳ"),0,ROUNDDOWN(ROUND(L366*VLOOKUP(K366,【参考】数式用!$A$5:$I$37,MATCH("ベア加算",【参考】数式用!$B$4:$I$4,0)+1,0),0),0)*AF368)),"")</f>
        <v>0</v>
      </c>
      <c r="AM368" s="1313" t="str">
        <f>IF(AND(T368&lt;&gt;"",AM366=""),"新規に適用",IF(AND(T368&lt;&gt;"",AM366&lt;&gt;""),"継続で適用",""))</f>
        <v/>
      </c>
      <c r="AN368" s="1313" t="str">
        <f>IF(AND(T368&lt;&gt;"",AN366=""),"新規に適用",IF(AND(T368&lt;&gt;"",AN366&lt;&gt;""),"継続で適用",""))</f>
        <v/>
      </c>
      <c r="AO368" s="1361"/>
      <c r="AP368" s="1313" t="str">
        <f>IF(AND(T368&lt;&gt;"",AP366=""),"新規に適用",IF(AND(T368&lt;&gt;"",AP366&lt;&gt;""),"継続で適用",""))</f>
        <v/>
      </c>
      <c r="AQ368" s="1317" t="str">
        <f t="shared" si="951"/>
        <v/>
      </c>
      <c r="AR368" s="1313" t="str">
        <f>IF(AND(T368&lt;&gt;"",AR366=""),"新規に適用",IF(AND(T368&lt;&gt;"",AR366&lt;&gt;""),"継続で適用",""))</f>
        <v/>
      </c>
      <c r="AS368" s="1302"/>
      <c r="AT368" s="554"/>
      <c r="AU368" s="1303" t="str">
        <f>IF(K366&lt;&gt;"","V列に色付け","")</f>
        <v/>
      </c>
      <c r="AV368" s="1304"/>
      <c r="AW368" s="1305"/>
      <c r="AX368"/>
      <c r="AY368"/>
      <c r="AZ368"/>
      <c r="BA368"/>
      <c r="BB368"/>
      <c r="BC368"/>
      <c r="BD368"/>
      <c r="BE368"/>
      <c r="BF368"/>
      <c r="BG368"/>
      <c r="BH368"/>
      <c r="BI368"/>
      <c r="BJ368"/>
      <c r="BK368" s="452" t="str">
        <f>G366</f>
        <v/>
      </c>
    </row>
    <row r="369" spans="1:63" ht="30" customHeight="1" thickBot="1">
      <c r="A369" s="1268"/>
      <c r="B369" s="1411"/>
      <c r="C369" s="1412"/>
      <c r="D369" s="1412"/>
      <c r="E369" s="1412"/>
      <c r="F369" s="1413"/>
      <c r="G369" s="1253"/>
      <c r="H369" s="1253"/>
      <c r="I369" s="1253"/>
      <c r="J369" s="1416"/>
      <c r="K369" s="1253"/>
      <c r="L369" s="1277"/>
      <c r="M369" s="553" t="str">
        <f>IF('別紙様式2-2（４・５月分）'!P280="","",'別紙様式2-2（４・５月分）'!P280)</f>
        <v/>
      </c>
      <c r="N369" s="1394"/>
      <c r="O369" s="1374"/>
      <c r="P369" s="1376"/>
      <c r="Q369" s="1378"/>
      <c r="R369" s="1380"/>
      <c r="S369" s="1382"/>
      <c r="T369" s="1384"/>
      <c r="U369" s="1386"/>
      <c r="V369" s="1388"/>
      <c r="W369" s="1390"/>
      <c r="X369" s="1364"/>
      <c r="Y369" s="1390"/>
      <c r="Z369" s="1364"/>
      <c r="AA369" s="1390"/>
      <c r="AB369" s="1364"/>
      <c r="AC369" s="1390"/>
      <c r="AD369" s="1364"/>
      <c r="AE369" s="1364"/>
      <c r="AF369" s="1364"/>
      <c r="AG369" s="1360"/>
      <c r="AH369" s="1366"/>
      <c r="AI369" s="1368"/>
      <c r="AJ369" s="1370"/>
      <c r="AK369" s="1340"/>
      <c r="AL369" s="1344"/>
      <c r="AM369" s="1314"/>
      <c r="AN369" s="1314"/>
      <c r="AO369" s="1362"/>
      <c r="AP369" s="1314"/>
      <c r="AQ369" s="1318"/>
      <c r="AR369" s="1314"/>
      <c r="AS369" s="490"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4"/>
      <c r="AU369" s="1303"/>
      <c r="AV369" s="555" t="str">
        <f>IF('別紙様式2-2（４・５月分）'!N280="","",'別紙様式2-2（４・５月分）'!N280)</f>
        <v/>
      </c>
      <c r="AW369" s="1305"/>
      <c r="AX369"/>
      <c r="AY369"/>
      <c r="AZ369"/>
      <c r="BA369"/>
      <c r="BB369"/>
      <c r="BC369"/>
      <c r="BD369"/>
      <c r="BE369"/>
      <c r="BF369"/>
      <c r="BG369"/>
      <c r="BH369"/>
      <c r="BI369"/>
      <c r="BJ369"/>
      <c r="BK369" s="452" t="str">
        <f>G366</f>
        <v/>
      </c>
    </row>
    <row r="370" spans="1:63" ht="30" customHeight="1">
      <c r="A370" s="1293">
        <v>90</v>
      </c>
      <c r="B370" s="1235" t="str">
        <f>IF(基本情報入力シート!C143="","",基本情報入力シート!C143)</f>
        <v/>
      </c>
      <c r="C370" s="1236"/>
      <c r="D370" s="1236"/>
      <c r="E370" s="1236"/>
      <c r="F370" s="1237"/>
      <c r="G370" s="1252" t="str">
        <f>IF(基本情報入力シート!M143="","",基本情報入力シート!M143)</f>
        <v/>
      </c>
      <c r="H370" s="1252" t="str">
        <f>IF(基本情報入力シート!R143="","",基本情報入力シート!R143)</f>
        <v/>
      </c>
      <c r="I370" s="1252" t="str">
        <f>IF(基本情報入力シート!W143="","",基本情報入力シート!W143)</f>
        <v/>
      </c>
      <c r="J370" s="1415" t="str">
        <f>IF(基本情報入力シート!X143="","",基本情報入力シート!X143)</f>
        <v/>
      </c>
      <c r="K370" s="1252" t="str">
        <f>IF(基本情報入力シート!Y143="","",基本情報入力シート!Y143)</f>
        <v/>
      </c>
      <c r="L370" s="1276" t="str">
        <f>IF(基本情報入力シート!AB143="","",基本情報入力シート!AB143)</f>
        <v/>
      </c>
      <c r="M370" s="550" t="str">
        <f>IF('別紙様式2-2（４・５月分）'!P281="","",'別紙様式2-2（４・５月分）'!P281)</f>
        <v/>
      </c>
      <c r="N370" s="1391" t="str">
        <f>IF(SUM('別紙様式2-2（４・５月分）'!Q281:Q283)=0,"",SUM('別紙様式2-2（４・５月分）'!Q281:Q283))</f>
        <v/>
      </c>
      <c r="O370" s="1395" t="str">
        <f>IFERROR(VLOOKUP('別紙様式2-2（４・５月分）'!AQ281,【参考】数式用!$AR$5:$AS$22,2,FALSE),"")</f>
        <v/>
      </c>
      <c r="P370" s="1396"/>
      <c r="Q370" s="1397"/>
      <c r="R370" s="1401" t="str">
        <f>IFERROR(VLOOKUP(K370,【参考】数式用!$A$5:$AB$37,MATCH(O370,【参考】数式用!$B$4:$AB$4,0)+1,0),"")</f>
        <v/>
      </c>
      <c r="S370" s="1403" t="s">
        <v>2021</v>
      </c>
      <c r="T370" s="1405"/>
      <c r="U370" s="1407" t="str">
        <f>IFERROR(VLOOKUP(K370,【参考】数式用!$A$5:$AB$37,MATCH(T370,【参考】数式用!$B$4:$AB$4,0)+1,0),"")</f>
        <v/>
      </c>
      <c r="V370" s="1409" t="s">
        <v>15</v>
      </c>
      <c r="W370" s="1347">
        <v>6</v>
      </c>
      <c r="X370" s="1349" t="s">
        <v>10</v>
      </c>
      <c r="Y370" s="1347">
        <v>6</v>
      </c>
      <c r="Z370" s="1349" t="s">
        <v>38</v>
      </c>
      <c r="AA370" s="1347">
        <v>7</v>
      </c>
      <c r="AB370" s="1349" t="s">
        <v>10</v>
      </c>
      <c r="AC370" s="1347">
        <v>3</v>
      </c>
      <c r="AD370" s="1349" t="s">
        <v>13</v>
      </c>
      <c r="AE370" s="1349" t="s">
        <v>20</v>
      </c>
      <c r="AF370" s="1349">
        <f>IF(W370&gt;=1,(AA370*12+AC370)-(W370*12+Y370)+1,"")</f>
        <v>10</v>
      </c>
      <c r="AG370" s="1351" t="s">
        <v>33</v>
      </c>
      <c r="AH370" s="1353" t="str">
        <f t="shared" ref="AH370" si="975">IFERROR(ROUNDDOWN(ROUND(L370*U370,0),0)*AF370,"")</f>
        <v/>
      </c>
      <c r="AI370" s="1355" t="str">
        <f t="shared" ref="AI370" si="976">IFERROR(ROUNDDOWN(ROUND((L370*(U370-AW370)),0),0)*AF370,"")</f>
        <v/>
      </c>
      <c r="AJ370" s="1357">
        <f>IFERROR(IF(OR(M370="",M371="",M373=""),0,ROUNDDOWN(ROUNDDOWN(ROUND(L370*VLOOKUP(K370,【参考】数式用!$A$5:$AB$37,MATCH("新加算Ⅳ",【参考】数式用!$B$4:$AB$4,0)+1,0),0),0)*AF370*0.5,0)),"")</f>
        <v>0</v>
      </c>
      <c r="AK370" s="1341"/>
      <c r="AL370" s="1345">
        <f>IFERROR(IF(OR(M373="ベア加算",M373=""),0, IF(OR(T370="新加算Ⅰ",T370="新加算Ⅱ",T370="新加算Ⅲ",T370="新加算Ⅳ"),ROUNDDOWN(ROUND(L370*VLOOKUP(K370,【参考】数式用!$A$5:$I$37,MATCH("ベア加算",【参考】数式用!$B$4:$I$4,0)+1,0),0),0)*AF370,0)),"")</f>
        <v>0</v>
      </c>
      <c r="AM370" s="1331"/>
      <c r="AN370" s="1337"/>
      <c r="AO370" s="1333"/>
      <c r="AP370" s="1333"/>
      <c r="AQ370" s="1335"/>
      <c r="AR370" s="1315"/>
      <c r="AS370" s="465" t="str">
        <f t="shared" ref="AS370" si="977">IF(AU370="","",IF(U370&lt;N370,"！加算の要件上は問題ありませんが、令和６年４・５月と比較して令和６年６月に加算率が下がる計画になっています。",""))</f>
        <v/>
      </c>
      <c r="AT370" s="554"/>
      <c r="AU370" s="1303" t="str">
        <f>IF(K370&lt;&gt;"","V列に色付け","")</f>
        <v/>
      </c>
      <c r="AV370" s="555" t="str">
        <f>IF('別紙様式2-2（４・５月分）'!N281="","",'別紙様式2-2（４・５月分）'!N281)</f>
        <v/>
      </c>
      <c r="AW370" s="1305" t="str">
        <f>IF(SUM('別紙様式2-2（４・５月分）'!O281:O283)=0,"",SUM('別紙様式2-2（４・５月分）'!O281:O283))</f>
        <v/>
      </c>
      <c r="AX370" s="1306" t="str">
        <f>IFERROR(VLOOKUP(K370,【参考】数式用!$AH$2:$AI$34,2,FALSE),"")</f>
        <v/>
      </c>
      <c r="AY370" s="1222" t="s">
        <v>1959</v>
      </c>
      <c r="AZ370" s="1222" t="s">
        <v>1960</v>
      </c>
      <c r="BA370" s="1222" t="s">
        <v>1961</v>
      </c>
      <c r="BB370" s="1222" t="s">
        <v>1962</v>
      </c>
      <c r="BC370" s="1222" t="str">
        <f>IF(AND(O370&lt;&gt;"新加算Ⅰ",O370&lt;&gt;"新加算Ⅱ",O370&lt;&gt;"新加算Ⅲ",O370&lt;&gt;"新加算Ⅳ"),O370,IF(P372&lt;&gt;"",P372,""))</f>
        <v/>
      </c>
      <c r="BD370" s="1222"/>
      <c r="BE370" s="1222" t="str">
        <f t="shared" ref="BE370" si="978">IF(AL370&lt;&gt;0,IF(AM370="○","入力済","未入力"),"")</f>
        <v/>
      </c>
      <c r="BF370" s="1222"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2" t="str">
        <f>IF(OR(T370="新加算Ⅴ（７）",T370="新加算Ⅴ（９）",T370="新加算Ⅴ（10）",T370="新加算Ⅴ（12）",T370="新加算Ⅴ（13）",T370="新加算Ⅴ（14）"),IF(OR(AO370="○",AO370="令和６年度中に満たす"),"入力済","未入力"),"")</f>
        <v/>
      </c>
      <c r="BH370" s="1323" t="str">
        <f t="shared" ref="BH370" si="979">IF(OR(T370="新加算Ⅰ",T370="新加算Ⅱ",T370="新加算Ⅲ",T370="新加算Ⅴ（１）",T370="新加算Ⅴ（３）",T370="新加算Ⅴ（８）"),IF(OR(AP370="○",AP370="令和６年度中に満たす"),"入力済","未入力"),"")</f>
        <v/>
      </c>
      <c r="BI370" s="1325" t="str">
        <f t="shared" ref="BI370" si="980">IF(OR(T370="新加算Ⅰ",T370="新加算Ⅱ",T370="新加算Ⅴ（１）",T370="新加算Ⅴ（２）",T370="新加算Ⅴ（３）",T370="新加算Ⅴ（４）",T370="新加算Ⅴ（５）",T370="新加算Ⅴ（６）",T370="新加算Ⅴ（７）",T370="新加算Ⅴ（９）",T370="新加算Ⅴ（10）",T370="新加算Ⅴ（12）"),1,"")</f>
        <v/>
      </c>
      <c r="BJ370" s="1303" t="str">
        <f>IF(OR(T370="新加算Ⅰ",T370="新加算Ⅴ（１）",T370="新加算Ⅴ（２）",T370="新加算Ⅴ（５）",T370="新加算Ⅴ（７）",T370="新加算Ⅴ（10）"),IF(AR370="","未入力","入力済"),"")</f>
        <v/>
      </c>
      <c r="BK370" s="452" t="str">
        <f>G370</f>
        <v/>
      </c>
    </row>
    <row r="371" spans="1:63" ht="15" customHeight="1">
      <c r="A371" s="1267"/>
      <c r="B371" s="1235"/>
      <c r="C371" s="1236"/>
      <c r="D371" s="1236"/>
      <c r="E371" s="1236"/>
      <c r="F371" s="1237"/>
      <c r="G371" s="1252"/>
      <c r="H371" s="1252"/>
      <c r="I371" s="1252"/>
      <c r="J371" s="1415"/>
      <c r="K371" s="1252"/>
      <c r="L371" s="1276"/>
      <c r="M371" s="1371" t="str">
        <f>IF('別紙様式2-2（４・５月分）'!P282="","",'別紙様式2-2（４・５月分）'!P282)</f>
        <v/>
      </c>
      <c r="N371" s="1392"/>
      <c r="O371" s="1398"/>
      <c r="P371" s="1399"/>
      <c r="Q371" s="1400"/>
      <c r="R371" s="1402"/>
      <c r="S371" s="1404"/>
      <c r="T371" s="1406"/>
      <c r="U371" s="1408"/>
      <c r="V371" s="1410"/>
      <c r="W371" s="1348"/>
      <c r="X371" s="1350"/>
      <c r="Y371" s="1348"/>
      <c r="Z371" s="1350"/>
      <c r="AA371" s="1348"/>
      <c r="AB371" s="1350"/>
      <c r="AC371" s="1348"/>
      <c r="AD371" s="1350"/>
      <c r="AE371" s="1350"/>
      <c r="AF371" s="1350"/>
      <c r="AG371" s="1352"/>
      <c r="AH371" s="1354"/>
      <c r="AI371" s="1356"/>
      <c r="AJ371" s="1358"/>
      <c r="AK371" s="1342"/>
      <c r="AL371" s="1346"/>
      <c r="AM371" s="1332"/>
      <c r="AN371" s="1338"/>
      <c r="AO371" s="1334"/>
      <c r="AP371" s="1334"/>
      <c r="AQ371" s="1336"/>
      <c r="AR371" s="1316"/>
      <c r="AS371" s="1302"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4"/>
      <c r="AU371" s="1303"/>
      <c r="AV371" s="1304" t="str">
        <f>IF('別紙様式2-2（４・５月分）'!N282="","",'別紙様式2-2（４・５月分）'!N282)</f>
        <v/>
      </c>
      <c r="AW371" s="1305"/>
      <c r="AX371" s="1306"/>
      <c r="AY371" s="1222"/>
      <c r="AZ371" s="1222"/>
      <c r="BA371" s="1222"/>
      <c r="BB371" s="1222"/>
      <c r="BC371" s="1222"/>
      <c r="BD371" s="1222"/>
      <c r="BE371" s="1222"/>
      <c r="BF371" s="1222"/>
      <c r="BG371" s="1222"/>
      <c r="BH371" s="1324"/>
      <c r="BI371" s="1326"/>
      <c r="BJ371" s="1303"/>
      <c r="BK371" s="452" t="str">
        <f>G370</f>
        <v/>
      </c>
    </row>
    <row r="372" spans="1:63" ht="15" customHeight="1">
      <c r="A372" s="1295"/>
      <c r="B372" s="1235"/>
      <c r="C372" s="1236"/>
      <c r="D372" s="1236"/>
      <c r="E372" s="1236"/>
      <c r="F372" s="1237"/>
      <c r="G372" s="1252"/>
      <c r="H372" s="1252"/>
      <c r="I372" s="1252"/>
      <c r="J372" s="1415"/>
      <c r="K372" s="1252"/>
      <c r="L372" s="1276"/>
      <c r="M372" s="1372"/>
      <c r="N372" s="1393"/>
      <c r="O372" s="1373" t="s">
        <v>2025</v>
      </c>
      <c r="P372" s="1375" t="str">
        <f>IFERROR(VLOOKUP('別紙様式2-2（４・５月分）'!AQ281,【参考】数式用!$AR$5:$AT$22,3,FALSE),"")</f>
        <v/>
      </c>
      <c r="Q372" s="1377" t="s">
        <v>2036</v>
      </c>
      <c r="R372" s="1379" t="str">
        <f>IFERROR(VLOOKUP(K370,【参考】数式用!$A$5:$AB$37,MATCH(P372,【参考】数式用!$B$4:$AB$4,0)+1,0),"")</f>
        <v/>
      </c>
      <c r="S372" s="1381" t="s">
        <v>161</v>
      </c>
      <c r="T372" s="1383"/>
      <c r="U372" s="1385" t="str">
        <f>IFERROR(VLOOKUP(K370,【参考】数式用!$A$5:$AB$37,MATCH(T372,【参考】数式用!$B$4:$AB$4,0)+1,0),"")</f>
        <v/>
      </c>
      <c r="V372" s="1387" t="s">
        <v>15</v>
      </c>
      <c r="W372" s="1389">
        <v>7</v>
      </c>
      <c r="X372" s="1363" t="s">
        <v>10</v>
      </c>
      <c r="Y372" s="1389">
        <v>4</v>
      </c>
      <c r="Z372" s="1363" t="s">
        <v>38</v>
      </c>
      <c r="AA372" s="1389">
        <v>8</v>
      </c>
      <c r="AB372" s="1363" t="s">
        <v>10</v>
      </c>
      <c r="AC372" s="1389">
        <v>3</v>
      </c>
      <c r="AD372" s="1363" t="s">
        <v>13</v>
      </c>
      <c r="AE372" s="1363" t="s">
        <v>20</v>
      </c>
      <c r="AF372" s="1363">
        <f>IF(W372&gt;=1,(AA372*12+AC372)-(W372*12+Y372)+1,"")</f>
        <v>12</v>
      </c>
      <c r="AG372" s="1359" t="s">
        <v>33</v>
      </c>
      <c r="AH372" s="1365" t="str">
        <f t="shared" ref="AH372" si="982">IFERROR(ROUNDDOWN(ROUND(L370*U372,0),0)*AF372,"")</f>
        <v/>
      </c>
      <c r="AI372" s="1367" t="str">
        <f t="shared" ref="AI372" si="983">IFERROR(ROUNDDOWN(ROUND((L370*(U372-AW370)),0),0)*AF372,"")</f>
        <v/>
      </c>
      <c r="AJ372" s="1369">
        <f>IFERROR(IF(OR(M370="",M371="",M373=""),0,ROUNDDOWN(ROUNDDOWN(ROUND(L370*VLOOKUP(K370,【参考】数式用!$A$5:$AB$37,MATCH("新加算Ⅳ",【参考】数式用!$B$4:$AB$4,0)+1,0),0),0)*AF372*0.5,0)),"")</f>
        <v>0</v>
      </c>
      <c r="AK372" s="1339" t="str">
        <f t="shared" ref="AK372" si="984">IF(T372&lt;&gt;"","新規に適用","")</f>
        <v/>
      </c>
      <c r="AL372" s="1343">
        <f>IFERROR(IF(OR(M373="ベア加算",M373=""),0, IF(OR(T370="新加算Ⅰ",T370="新加算Ⅱ",T370="新加算Ⅲ",T370="新加算Ⅳ"),0,ROUNDDOWN(ROUND(L370*VLOOKUP(K370,【参考】数式用!$A$5:$I$37,MATCH("ベア加算",【参考】数式用!$B$4:$I$4,0)+1,0),0),0)*AF372)),"")</f>
        <v>0</v>
      </c>
      <c r="AM372" s="1313" t="str">
        <f>IF(AND(T372&lt;&gt;"",AM370=""),"新規に適用",IF(AND(T372&lt;&gt;"",AM370&lt;&gt;""),"継続で適用",""))</f>
        <v/>
      </c>
      <c r="AN372" s="1313" t="str">
        <f>IF(AND(T372&lt;&gt;"",AN370=""),"新規に適用",IF(AND(T372&lt;&gt;"",AN370&lt;&gt;""),"継続で適用",""))</f>
        <v/>
      </c>
      <c r="AO372" s="1361"/>
      <c r="AP372" s="1313" t="str">
        <f>IF(AND(T372&lt;&gt;"",AP370=""),"新規に適用",IF(AND(T372&lt;&gt;"",AP370&lt;&gt;""),"継続で適用",""))</f>
        <v/>
      </c>
      <c r="AQ372" s="1317" t="str">
        <f t="shared" si="951"/>
        <v/>
      </c>
      <c r="AR372" s="1313" t="str">
        <f>IF(AND(T372&lt;&gt;"",AR370=""),"新規に適用",IF(AND(T372&lt;&gt;"",AR370&lt;&gt;""),"継続で適用",""))</f>
        <v/>
      </c>
      <c r="AS372" s="1302"/>
      <c r="AT372" s="554"/>
      <c r="AU372" s="1303" t="str">
        <f>IF(K370&lt;&gt;"","V列に色付け","")</f>
        <v/>
      </c>
      <c r="AV372" s="1304"/>
      <c r="AW372" s="1305"/>
      <c r="AX372"/>
      <c r="AY372"/>
      <c r="AZ372"/>
      <c r="BA372"/>
      <c r="BB372"/>
      <c r="BC372"/>
      <c r="BD372"/>
      <c r="BE372"/>
      <c r="BF372"/>
      <c r="BG372"/>
      <c r="BH372"/>
      <c r="BI372"/>
      <c r="BJ372"/>
      <c r="BK372" s="452" t="str">
        <f>G370</f>
        <v/>
      </c>
    </row>
    <row r="373" spans="1:63" ht="30" customHeight="1" thickBot="1">
      <c r="A373" s="1268"/>
      <c r="B373" s="1411"/>
      <c r="C373" s="1412"/>
      <c r="D373" s="1412"/>
      <c r="E373" s="1412"/>
      <c r="F373" s="1413"/>
      <c r="G373" s="1253"/>
      <c r="H373" s="1253"/>
      <c r="I373" s="1253"/>
      <c r="J373" s="1416"/>
      <c r="K373" s="1253"/>
      <c r="L373" s="1277"/>
      <c r="M373" s="553" t="str">
        <f>IF('別紙様式2-2（４・５月分）'!P283="","",'別紙様式2-2（４・５月分）'!P283)</f>
        <v/>
      </c>
      <c r="N373" s="1394"/>
      <c r="O373" s="1374"/>
      <c r="P373" s="1376"/>
      <c r="Q373" s="1378"/>
      <c r="R373" s="1380"/>
      <c r="S373" s="1382"/>
      <c r="T373" s="1384"/>
      <c r="U373" s="1386"/>
      <c r="V373" s="1388"/>
      <c r="W373" s="1390"/>
      <c r="X373" s="1364"/>
      <c r="Y373" s="1390"/>
      <c r="Z373" s="1364"/>
      <c r="AA373" s="1390"/>
      <c r="AB373" s="1364"/>
      <c r="AC373" s="1390"/>
      <c r="AD373" s="1364"/>
      <c r="AE373" s="1364"/>
      <c r="AF373" s="1364"/>
      <c r="AG373" s="1360"/>
      <c r="AH373" s="1366"/>
      <c r="AI373" s="1368"/>
      <c r="AJ373" s="1370"/>
      <c r="AK373" s="1340"/>
      <c r="AL373" s="1344"/>
      <c r="AM373" s="1314"/>
      <c r="AN373" s="1314"/>
      <c r="AO373" s="1362"/>
      <c r="AP373" s="1314"/>
      <c r="AQ373" s="1318"/>
      <c r="AR373" s="1314"/>
      <c r="AS373" s="490"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4"/>
      <c r="AU373" s="1303"/>
      <c r="AV373" s="555" t="str">
        <f>IF('別紙様式2-2（４・５月分）'!N283="","",'別紙様式2-2（４・５月分）'!N283)</f>
        <v/>
      </c>
      <c r="AW373" s="1305"/>
      <c r="AX373"/>
      <c r="AY373"/>
      <c r="AZ373"/>
      <c r="BA373"/>
      <c r="BB373"/>
      <c r="BC373"/>
      <c r="BD373"/>
      <c r="BE373"/>
      <c r="BF373"/>
      <c r="BG373"/>
      <c r="BH373"/>
      <c r="BI373"/>
      <c r="BJ373"/>
      <c r="BK373" s="452" t="str">
        <f>G370</f>
        <v/>
      </c>
    </row>
    <row r="374" spans="1:63" ht="30" customHeight="1">
      <c r="A374" s="1266">
        <v>91</v>
      </c>
      <c r="B374" s="1235" t="str">
        <f>IF(基本情報入力シート!C144="","",基本情報入力シート!C144)</f>
        <v/>
      </c>
      <c r="C374" s="1236"/>
      <c r="D374" s="1236"/>
      <c r="E374" s="1236"/>
      <c r="F374" s="1237"/>
      <c r="G374" s="1252" t="str">
        <f>IF(基本情報入力シート!M144="","",基本情報入力シート!M144)</f>
        <v/>
      </c>
      <c r="H374" s="1252" t="str">
        <f>IF(基本情報入力シート!R144="","",基本情報入力シート!R144)</f>
        <v/>
      </c>
      <c r="I374" s="1252" t="str">
        <f>IF(基本情報入力シート!W144="","",基本情報入力シート!W144)</f>
        <v/>
      </c>
      <c r="J374" s="1415" t="str">
        <f>IF(基本情報入力シート!X144="","",基本情報入力シート!X144)</f>
        <v/>
      </c>
      <c r="K374" s="1252" t="str">
        <f>IF(基本情報入力シート!Y144="","",基本情報入力シート!Y144)</f>
        <v/>
      </c>
      <c r="L374" s="1276" t="str">
        <f>IF(基本情報入力シート!AB144="","",基本情報入力シート!AB144)</f>
        <v/>
      </c>
      <c r="M374" s="550" t="str">
        <f>IF('別紙様式2-2（４・５月分）'!P284="","",'別紙様式2-2（４・５月分）'!P284)</f>
        <v/>
      </c>
      <c r="N374" s="1391" t="str">
        <f>IF(SUM('別紙様式2-2（４・５月分）'!Q284:Q286)=0,"",SUM('別紙様式2-2（４・５月分）'!Q284:Q286))</f>
        <v/>
      </c>
      <c r="O374" s="1395" t="str">
        <f>IFERROR(VLOOKUP('別紙様式2-2（４・５月分）'!AQ284,【参考】数式用!$AR$5:$AS$22,2,FALSE),"")</f>
        <v/>
      </c>
      <c r="P374" s="1396"/>
      <c r="Q374" s="1397"/>
      <c r="R374" s="1401" t="str">
        <f>IFERROR(VLOOKUP(K374,【参考】数式用!$A$5:$AB$37,MATCH(O374,【参考】数式用!$B$4:$AB$4,0)+1,0),"")</f>
        <v/>
      </c>
      <c r="S374" s="1403" t="s">
        <v>2021</v>
      </c>
      <c r="T374" s="1405"/>
      <c r="U374" s="1407" t="str">
        <f>IFERROR(VLOOKUP(K374,【参考】数式用!$A$5:$AB$37,MATCH(T374,【参考】数式用!$B$4:$AB$4,0)+1,0),"")</f>
        <v/>
      </c>
      <c r="V374" s="1409" t="s">
        <v>15</v>
      </c>
      <c r="W374" s="1347">
        <v>6</v>
      </c>
      <c r="X374" s="1349" t="s">
        <v>10</v>
      </c>
      <c r="Y374" s="1347">
        <v>6</v>
      </c>
      <c r="Z374" s="1349" t="s">
        <v>38</v>
      </c>
      <c r="AA374" s="1347">
        <v>7</v>
      </c>
      <c r="AB374" s="1349" t="s">
        <v>10</v>
      </c>
      <c r="AC374" s="1347">
        <v>3</v>
      </c>
      <c r="AD374" s="1349" t="s">
        <v>13</v>
      </c>
      <c r="AE374" s="1349" t="s">
        <v>20</v>
      </c>
      <c r="AF374" s="1349">
        <f>IF(W374&gt;=1,(AA374*12+AC374)-(W374*12+Y374)+1,"")</f>
        <v>10</v>
      </c>
      <c r="AG374" s="1351" t="s">
        <v>33</v>
      </c>
      <c r="AH374" s="1353" t="str">
        <f t="shared" ref="AH374" si="986">IFERROR(ROUNDDOWN(ROUND(L374*U374,0),0)*AF374,"")</f>
        <v/>
      </c>
      <c r="AI374" s="1355" t="str">
        <f t="shared" ref="AI374" si="987">IFERROR(ROUNDDOWN(ROUND((L374*(U374-AW374)),0),0)*AF374,"")</f>
        <v/>
      </c>
      <c r="AJ374" s="1357">
        <f>IFERROR(IF(OR(M374="",M375="",M377=""),0,ROUNDDOWN(ROUNDDOWN(ROUND(L374*VLOOKUP(K374,【参考】数式用!$A$5:$AB$37,MATCH("新加算Ⅳ",【参考】数式用!$B$4:$AB$4,0)+1,0),0),0)*AF374*0.5,0)),"")</f>
        <v>0</v>
      </c>
      <c r="AK374" s="1341"/>
      <c r="AL374" s="1345">
        <f>IFERROR(IF(OR(M377="ベア加算",M377=""),0, IF(OR(T374="新加算Ⅰ",T374="新加算Ⅱ",T374="新加算Ⅲ",T374="新加算Ⅳ"),ROUNDDOWN(ROUND(L374*VLOOKUP(K374,【参考】数式用!$A$5:$I$37,MATCH("ベア加算",【参考】数式用!$B$4:$I$4,0)+1,0),0),0)*AF374,0)),"")</f>
        <v>0</v>
      </c>
      <c r="AM374" s="1331"/>
      <c r="AN374" s="1337"/>
      <c r="AO374" s="1333"/>
      <c r="AP374" s="1333"/>
      <c r="AQ374" s="1335"/>
      <c r="AR374" s="1315"/>
      <c r="AS374" s="465" t="str">
        <f t="shared" ref="AS374" si="988">IF(AU374="","",IF(U374&lt;N374,"！加算の要件上は問題ありませんが、令和６年４・５月と比較して令和６年６月に加算率が下がる計画になっています。",""))</f>
        <v/>
      </c>
      <c r="AT374" s="554"/>
      <c r="AU374" s="1303" t="str">
        <f>IF(K374&lt;&gt;"","V列に色付け","")</f>
        <v/>
      </c>
      <c r="AV374" s="555" t="str">
        <f>IF('別紙様式2-2（４・５月分）'!N284="","",'別紙様式2-2（４・５月分）'!N284)</f>
        <v/>
      </c>
      <c r="AW374" s="1305" t="str">
        <f>IF(SUM('別紙様式2-2（４・５月分）'!O284:O286)=0,"",SUM('別紙様式2-2（４・５月分）'!O284:O286))</f>
        <v/>
      </c>
      <c r="AX374" s="1306" t="str">
        <f>IFERROR(VLOOKUP(K374,【参考】数式用!$AH$2:$AI$34,2,FALSE),"")</f>
        <v/>
      </c>
      <c r="AY374" s="1222" t="s">
        <v>1959</v>
      </c>
      <c r="AZ374" s="1222" t="s">
        <v>1960</v>
      </c>
      <c r="BA374" s="1222" t="s">
        <v>1961</v>
      </c>
      <c r="BB374" s="1222" t="s">
        <v>1962</v>
      </c>
      <c r="BC374" s="1222" t="str">
        <f>IF(AND(O374&lt;&gt;"新加算Ⅰ",O374&lt;&gt;"新加算Ⅱ",O374&lt;&gt;"新加算Ⅲ",O374&lt;&gt;"新加算Ⅳ"),O374,IF(P376&lt;&gt;"",P376,""))</f>
        <v/>
      </c>
      <c r="BD374" s="1222"/>
      <c r="BE374" s="1222" t="str">
        <f t="shared" ref="BE374" si="989">IF(AL374&lt;&gt;0,IF(AM374="○","入力済","未入力"),"")</f>
        <v/>
      </c>
      <c r="BF374" s="1222"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2" t="str">
        <f>IF(OR(T374="新加算Ⅴ（７）",T374="新加算Ⅴ（９）",T374="新加算Ⅴ（10）",T374="新加算Ⅴ（12）",T374="新加算Ⅴ（13）",T374="新加算Ⅴ（14）"),IF(OR(AO374="○",AO374="令和６年度中に満たす"),"入力済","未入力"),"")</f>
        <v/>
      </c>
      <c r="BH374" s="1323" t="str">
        <f t="shared" ref="BH374" si="990">IF(OR(T374="新加算Ⅰ",T374="新加算Ⅱ",T374="新加算Ⅲ",T374="新加算Ⅴ（１）",T374="新加算Ⅴ（３）",T374="新加算Ⅴ（８）"),IF(OR(AP374="○",AP374="令和６年度中に満たす"),"入力済","未入力"),"")</f>
        <v/>
      </c>
      <c r="BI374" s="1325" t="str">
        <f t="shared" ref="BI374" si="991">IF(OR(T374="新加算Ⅰ",T374="新加算Ⅱ",T374="新加算Ⅴ（１）",T374="新加算Ⅴ（２）",T374="新加算Ⅴ（３）",T374="新加算Ⅴ（４）",T374="新加算Ⅴ（５）",T374="新加算Ⅴ（６）",T374="新加算Ⅴ（７）",T374="新加算Ⅴ（９）",T374="新加算Ⅴ（10）",T374="新加算Ⅴ（12）"),1,"")</f>
        <v/>
      </c>
      <c r="BJ374" s="1303" t="str">
        <f>IF(OR(T374="新加算Ⅰ",T374="新加算Ⅴ（１）",T374="新加算Ⅴ（２）",T374="新加算Ⅴ（５）",T374="新加算Ⅴ（７）",T374="新加算Ⅴ（10）"),IF(AR374="","未入力","入力済"),"")</f>
        <v/>
      </c>
      <c r="BK374" s="452" t="str">
        <f>G374</f>
        <v/>
      </c>
    </row>
    <row r="375" spans="1:63" ht="15" customHeight="1">
      <c r="A375" s="1267"/>
      <c r="B375" s="1235"/>
      <c r="C375" s="1236"/>
      <c r="D375" s="1236"/>
      <c r="E375" s="1236"/>
      <c r="F375" s="1237"/>
      <c r="G375" s="1252"/>
      <c r="H375" s="1252"/>
      <c r="I375" s="1252"/>
      <c r="J375" s="1415"/>
      <c r="K375" s="1252"/>
      <c r="L375" s="1276"/>
      <c r="M375" s="1371" t="str">
        <f>IF('別紙様式2-2（４・５月分）'!P285="","",'別紙様式2-2（４・５月分）'!P285)</f>
        <v/>
      </c>
      <c r="N375" s="1392"/>
      <c r="O375" s="1398"/>
      <c r="P375" s="1399"/>
      <c r="Q375" s="1400"/>
      <c r="R375" s="1402"/>
      <c r="S375" s="1404"/>
      <c r="T375" s="1406"/>
      <c r="U375" s="1408"/>
      <c r="V375" s="1410"/>
      <c r="W375" s="1348"/>
      <c r="X375" s="1350"/>
      <c r="Y375" s="1348"/>
      <c r="Z375" s="1350"/>
      <c r="AA375" s="1348"/>
      <c r="AB375" s="1350"/>
      <c r="AC375" s="1348"/>
      <c r="AD375" s="1350"/>
      <c r="AE375" s="1350"/>
      <c r="AF375" s="1350"/>
      <c r="AG375" s="1352"/>
      <c r="AH375" s="1354"/>
      <c r="AI375" s="1356"/>
      <c r="AJ375" s="1358"/>
      <c r="AK375" s="1342"/>
      <c r="AL375" s="1346"/>
      <c r="AM375" s="1332"/>
      <c r="AN375" s="1338"/>
      <c r="AO375" s="1334"/>
      <c r="AP375" s="1334"/>
      <c r="AQ375" s="1336"/>
      <c r="AR375" s="1316"/>
      <c r="AS375" s="1302"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4"/>
      <c r="AU375" s="1303"/>
      <c r="AV375" s="1304" t="str">
        <f>IF('別紙様式2-2（４・５月分）'!N285="","",'別紙様式2-2（４・５月分）'!N285)</f>
        <v/>
      </c>
      <c r="AW375" s="1305"/>
      <c r="AX375" s="1306"/>
      <c r="AY375" s="1222"/>
      <c r="AZ375" s="1222"/>
      <c r="BA375" s="1222"/>
      <c r="BB375" s="1222"/>
      <c r="BC375" s="1222"/>
      <c r="BD375" s="1222"/>
      <c r="BE375" s="1222"/>
      <c r="BF375" s="1222"/>
      <c r="BG375" s="1222"/>
      <c r="BH375" s="1324"/>
      <c r="BI375" s="1326"/>
      <c r="BJ375" s="1303"/>
      <c r="BK375" s="452" t="str">
        <f>G374</f>
        <v/>
      </c>
    </row>
    <row r="376" spans="1:63" ht="15" customHeight="1">
      <c r="A376" s="1295"/>
      <c r="B376" s="1235"/>
      <c r="C376" s="1236"/>
      <c r="D376" s="1236"/>
      <c r="E376" s="1236"/>
      <c r="F376" s="1237"/>
      <c r="G376" s="1252"/>
      <c r="H376" s="1252"/>
      <c r="I376" s="1252"/>
      <c r="J376" s="1415"/>
      <c r="K376" s="1252"/>
      <c r="L376" s="1276"/>
      <c r="M376" s="1372"/>
      <c r="N376" s="1393"/>
      <c r="O376" s="1373" t="s">
        <v>2025</v>
      </c>
      <c r="P376" s="1375" t="str">
        <f>IFERROR(VLOOKUP('別紙様式2-2（４・５月分）'!AQ284,【参考】数式用!$AR$5:$AT$22,3,FALSE),"")</f>
        <v/>
      </c>
      <c r="Q376" s="1377" t="s">
        <v>2036</v>
      </c>
      <c r="R376" s="1379" t="str">
        <f>IFERROR(VLOOKUP(K374,【参考】数式用!$A$5:$AB$37,MATCH(P376,【参考】数式用!$B$4:$AB$4,0)+1,0),"")</f>
        <v/>
      </c>
      <c r="S376" s="1381" t="s">
        <v>161</v>
      </c>
      <c r="T376" s="1383"/>
      <c r="U376" s="1385" t="str">
        <f>IFERROR(VLOOKUP(K374,【参考】数式用!$A$5:$AB$37,MATCH(T376,【参考】数式用!$B$4:$AB$4,0)+1,0),"")</f>
        <v/>
      </c>
      <c r="V376" s="1387" t="s">
        <v>15</v>
      </c>
      <c r="W376" s="1389">
        <v>7</v>
      </c>
      <c r="X376" s="1363" t="s">
        <v>10</v>
      </c>
      <c r="Y376" s="1389">
        <v>4</v>
      </c>
      <c r="Z376" s="1363" t="s">
        <v>38</v>
      </c>
      <c r="AA376" s="1389">
        <v>8</v>
      </c>
      <c r="AB376" s="1363" t="s">
        <v>10</v>
      </c>
      <c r="AC376" s="1389">
        <v>3</v>
      </c>
      <c r="AD376" s="1363" t="s">
        <v>13</v>
      </c>
      <c r="AE376" s="1363" t="s">
        <v>20</v>
      </c>
      <c r="AF376" s="1363">
        <f>IF(W376&gt;=1,(AA376*12+AC376)-(W376*12+Y376)+1,"")</f>
        <v>12</v>
      </c>
      <c r="AG376" s="1359" t="s">
        <v>33</v>
      </c>
      <c r="AH376" s="1365" t="str">
        <f t="shared" ref="AH376" si="993">IFERROR(ROUNDDOWN(ROUND(L374*U376,0),0)*AF376,"")</f>
        <v/>
      </c>
      <c r="AI376" s="1367" t="str">
        <f t="shared" ref="AI376" si="994">IFERROR(ROUNDDOWN(ROUND((L374*(U376-AW374)),0),0)*AF376,"")</f>
        <v/>
      </c>
      <c r="AJ376" s="1369">
        <f>IFERROR(IF(OR(M374="",M375="",M377=""),0,ROUNDDOWN(ROUNDDOWN(ROUND(L374*VLOOKUP(K374,【参考】数式用!$A$5:$AB$37,MATCH("新加算Ⅳ",【参考】数式用!$B$4:$AB$4,0)+1,0),0),0)*AF376*0.5,0)),"")</f>
        <v>0</v>
      </c>
      <c r="AK376" s="1339" t="str">
        <f t="shared" ref="AK376" si="995">IF(T376&lt;&gt;"","新規に適用","")</f>
        <v/>
      </c>
      <c r="AL376" s="1343">
        <f>IFERROR(IF(OR(M377="ベア加算",M377=""),0, IF(OR(T374="新加算Ⅰ",T374="新加算Ⅱ",T374="新加算Ⅲ",T374="新加算Ⅳ"),0,ROUNDDOWN(ROUND(L374*VLOOKUP(K374,【参考】数式用!$A$5:$I$37,MATCH("ベア加算",【参考】数式用!$B$4:$I$4,0)+1,0),0),0)*AF376)),"")</f>
        <v>0</v>
      </c>
      <c r="AM376" s="1313" t="str">
        <f>IF(AND(T376&lt;&gt;"",AM374=""),"新規に適用",IF(AND(T376&lt;&gt;"",AM374&lt;&gt;""),"継続で適用",""))</f>
        <v/>
      </c>
      <c r="AN376" s="1313" t="str">
        <f>IF(AND(T376&lt;&gt;"",AN374=""),"新規に適用",IF(AND(T376&lt;&gt;"",AN374&lt;&gt;""),"継続で適用",""))</f>
        <v/>
      </c>
      <c r="AO376" s="1361"/>
      <c r="AP376" s="1313" t="str">
        <f>IF(AND(T376&lt;&gt;"",AP374=""),"新規に適用",IF(AND(T376&lt;&gt;"",AP374&lt;&gt;""),"継続で適用",""))</f>
        <v/>
      </c>
      <c r="AQ376" s="1317" t="str">
        <f t="shared" si="951"/>
        <v/>
      </c>
      <c r="AR376" s="1313" t="str">
        <f>IF(AND(T376&lt;&gt;"",AR374=""),"新規に適用",IF(AND(T376&lt;&gt;"",AR374&lt;&gt;""),"継続で適用",""))</f>
        <v/>
      </c>
      <c r="AS376" s="1302"/>
      <c r="AT376" s="554"/>
      <c r="AU376" s="1303" t="str">
        <f>IF(K374&lt;&gt;"","V列に色付け","")</f>
        <v/>
      </c>
      <c r="AV376" s="1304"/>
      <c r="AW376" s="1305"/>
      <c r="AX376"/>
      <c r="AY376"/>
      <c r="AZ376"/>
      <c r="BA376"/>
      <c r="BB376"/>
      <c r="BC376"/>
      <c r="BD376"/>
      <c r="BE376"/>
      <c r="BF376"/>
      <c r="BG376"/>
      <c r="BH376"/>
      <c r="BI376"/>
      <c r="BJ376"/>
      <c r="BK376" s="452" t="str">
        <f>G374</f>
        <v/>
      </c>
    </row>
    <row r="377" spans="1:63" ht="30" customHeight="1" thickBot="1">
      <c r="A377" s="1268"/>
      <c r="B377" s="1411"/>
      <c r="C377" s="1412"/>
      <c r="D377" s="1412"/>
      <c r="E377" s="1412"/>
      <c r="F377" s="1413"/>
      <c r="G377" s="1253"/>
      <c r="H377" s="1253"/>
      <c r="I377" s="1253"/>
      <c r="J377" s="1416"/>
      <c r="K377" s="1253"/>
      <c r="L377" s="1277"/>
      <c r="M377" s="553" t="str">
        <f>IF('別紙様式2-2（４・５月分）'!P286="","",'別紙様式2-2（４・５月分）'!P286)</f>
        <v/>
      </c>
      <c r="N377" s="1394"/>
      <c r="O377" s="1374"/>
      <c r="P377" s="1376"/>
      <c r="Q377" s="1378"/>
      <c r="R377" s="1380"/>
      <c r="S377" s="1382"/>
      <c r="T377" s="1384"/>
      <c r="U377" s="1386"/>
      <c r="V377" s="1388"/>
      <c r="W377" s="1390"/>
      <c r="X377" s="1364"/>
      <c r="Y377" s="1390"/>
      <c r="Z377" s="1364"/>
      <c r="AA377" s="1390"/>
      <c r="AB377" s="1364"/>
      <c r="AC377" s="1390"/>
      <c r="AD377" s="1364"/>
      <c r="AE377" s="1364"/>
      <c r="AF377" s="1364"/>
      <c r="AG377" s="1360"/>
      <c r="AH377" s="1366"/>
      <c r="AI377" s="1368"/>
      <c r="AJ377" s="1370"/>
      <c r="AK377" s="1340"/>
      <c r="AL377" s="1344"/>
      <c r="AM377" s="1314"/>
      <c r="AN377" s="1314"/>
      <c r="AO377" s="1362"/>
      <c r="AP377" s="1314"/>
      <c r="AQ377" s="1318"/>
      <c r="AR377" s="1314"/>
      <c r="AS377" s="490"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4"/>
      <c r="AU377" s="1303"/>
      <c r="AV377" s="555" t="str">
        <f>IF('別紙様式2-2（４・５月分）'!N286="","",'別紙様式2-2（４・５月分）'!N286)</f>
        <v/>
      </c>
      <c r="AW377" s="1305"/>
      <c r="AX377"/>
      <c r="AY377"/>
      <c r="AZ377"/>
      <c r="BA377"/>
      <c r="BB377"/>
      <c r="BC377"/>
      <c r="BD377"/>
      <c r="BE377"/>
      <c r="BF377"/>
      <c r="BG377"/>
      <c r="BH377"/>
      <c r="BI377"/>
      <c r="BJ377"/>
      <c r="BK377" s="452" t="str">
        <f>G374</f>
        <v/>
      </c>
    </row>
    <row r="378" spans="1:63" ht="30" customHeight="1">
      <c r="A378" s="1293">
        <v>92</v>
      </c>
      <c r="B378" s="1232" t="str">
        <f>IF(基本情報入力シート!C145="","",基本情報入力シート!C145)</f>
        <v/>
      </c>
      <c r="C378" s="1233"/>
      <c r="D378" s="1233"/>
      <c r="E378" s="1233"/>
      <c r="F378" s="1234"/>
      <c r="G378" s="1251" t="str">
        <f>IF(基本情報入力シート!M145="","",基本情報入力シート!M145)</f>
        <v/>
      </c>
      <c r="H378" s="1251" t="str">
        <f>IF(基本情報入力シート!R145="","",基本情報入力シート!R145)</f>
        <v/>
      </c>
      <c r="I378" s="1251" t="str">
        <f>IF(基本情報入力シート!W145="","",基本情報入力シート!W145)</f>
        <v/>
      </c>
      <c r="J378" s="1414" t="str">
        <f>IF(基本情報入力シート!X145="","",基本情報入力シート!X145)</f>
        <v/>
      </c>
      <c r="K378" s="1251" t="str">
        <f>IF(基本情報入力シート!Y145="","",基本情報入力シート!Y145)</f>
        <v/>
      </c>
      <c r="L378" s="1275" t="str">
        <f>IF(基本情報入力シート!AB145="","",基本情報入力シート!AB145)</f>
        <v/>
      </c>
      <c r="M378" s="550" t="str">
        <f>IF('別紙様式2-2（４・５月分）'!P287="","",'別紙様式2-2（４・５月分）'!P287)</f>
        <v/>
      </c>
      <c r="N378" s="1391" t="str">
        <f>IF(SUM('別紙様式2-2（４・５月分）'!Q287:Q289)=0,"",SUM('別紙様式2-2（４・５月分）'!Q287:Q289))</f>
        <v/>
      </c>
      <c r="O378" s="1395" t="str">
        <f>IFERROR(VLOOKUP('別紙様式2-2（４・５月分）'!AQ287,【参考】数式用!$AR$5:$AS$22,2,FALSE),"")</f>
        <v/>
      </c>
      <c r="P378" s="1396"/>
      <c r="Q378" s="1397"/>
      <c r="R378" s="1401" t="str">
        <f>IFERROR(VLOOKUP(K378,【参考】数式用!$A$5:$AB$37,MATCH(O378,【参考】数式用!$B$4:$AB$4,0)+1,0),"")</f>
        <v/>
      </c>
      <c r="S378" s="1403" t="s">
        <v>2021</v>
      </c>
      <c r="T378" s="1405"/>
      <c r="U378" s="1407" t="str">
        <f>IFERROR(VLOOKUP(K378,【参考】数式用!$A$5:$AB$37,MATCH(T378,【参考】数式用!$B$4:$AB$4,0)+1,0),"")</f>
        <v/>
      </c>
      <c r="V378" s="1409" t="s">
        <v>15</v>
      </c>
      <c r="W378" s="1347">
        <v>6</v>
      </c>
      <c r="X378" s="1349" t="s">
        <v>10</v>
      </c>
      <c r="Y378" s="1347">
        <v>6</v>
      </c>
      <c r="Z378" s="1349" t="s">
        <v>38</v>
      </c>
      <c r="AA378" s="1347">
        <v>7</v>
      </c>
      <c r="AB378" s="1349" t="s">
        <v>10</v>
      </c>
      <c r="AC378" s="1347">
        <v>3</v>
      </c>
      <c r="AD378" s="1349" t="s">
        <v>13</v>
      </c>
      <c r="AE378" s="1349" t="s">
        <v>20</v>
      </c>
      <c r="AF378" s="1349">
        <f>IF(W378&gt;=1,(AA378*12+AC378)-(W378*12+Y378)+1,"")</f>
        <v>10</v>
      </c>
      <c r="AG378" s="1351" t="s">
        <v>33</v>
      </c>
      <c r="AH378" s="1353" t="str">
        <f t="shared" ref="AH378" si="997">IFERROR(ROUNDDOWN(ROUND(L378*U378,0),0)*AF378,"")</f>
        <v/>
      </c>
      <c r="AI378" s="1355" t="str">
        <f t="shared" ref="AI378" si="998">IFERROR(ROUNDDOWN(ROUND((L378*(U378-AW378)),0),0)*AF378,"")</f>
        <v/>
      </c>
      <c r="AJ378" s="1357">
        <f>IFERROR(IF(OR(M378="",M379="",M381=""),0,ROUNDDOWN(ROUNDDOWN(ROUND(L378*VLOOKUP(K378,【参考】数式用!$A$5:$AB$37,MATCH("新加算Ⅳ",【参考】数式用!$B$4:$AB$4,0)+1,0),0),0)*AF378*0.5,0)),"")</f>
        <v>0</v>
      </c>
      <c r="AK378" s="1341"/>
      <c r="AL378" s="1345">
        <f>IFERROR(IF(OR(M381="ベア加算",M381=""),0, IF(OR(T378="新加算Ⅰ",T378="新加算Ⅱ",T378="新加算Ⅲ",T378="新加算Ⅳ"),ROUNDDOWN(ROUND(L378*VLOOKUP(K378,【参考】数式用!$A$5:$I$37,MATCH("ベア加算",【参考】数式用!$B$4:$I$4,0)+1,0),0),0)*AF378,0)),"")</f>
        <v>0</v>
      </c>
      <c r="AM378" s="1331"/>
      <c r="AN378" s="1337"/>
      <c r="AO378" s="1333"/>
      <c r="AP378" s="1333"/>
      <c r="AQ378" s="1335"/>
      <c r="AR378" s="1315"/>
      <c r="AS378" s="465" t="str">
        <f t="shared" ref="AS378" si="999">IF(AU378="","",IF(U378&lt;N378,"！加算の要件上は問題ありませんが、令和６年４・５月と比較して令和６年６月に加算率が下がる計画になっています。",""))</f>
        <v/>
      </c>
      <c r="AT378" s="554"/>
      <c r="AU378" s="1303" t="str">
        <f>IF(K378&lt;&gt;"","V列に色付け","")</f>
        <v/>
      </c>
      <c r="AV378" s="555" t="str">
        <f>IF('別紙様式2-2（４・５月分）'!N287="","",'別紙様式2-2（４・５月分）'!N287)</f>
        <v/>
      </c>
      <c r="AW378" s="1305" t="str">
        <f>IF(SUM('別紙様式2-2（４・５月分）'!O287:O289)=0,"",SUM('別紙様式2-2（４・５月分）'!O287:O289))</f>
        <v/>
      </c>
      <c r="AX378" s="1306" t="str">
        <f>IFERROR(VLOOKUP(K378,【参考】数式用!$AH$2:$AI$34,2,FALSE),"")</f>
        <v/>
      </c>
      <c r="AY378" s="1222" t="s">
        <v>1959</v>
      </c>
      <c r="AZ378" s="1222" t="s">
        <v>1960</v>
      </c>
      <c r="BA378" s="1222" t="s">
        <v>1961</v>
      </c>
      <c r="BB378" s="1222" t="s">
        <v>1962</v>
      </c>
      <c r="BC378" s="1222" t="str">
        <f>IF(AND(O378&lt;&gt;"新加算Ⅰ",O378&lt;&gt;"新加算Ⅱ",O378&lt;&gt;"新加算Ⅲ",O378&lt;&gt;"新加算Ⅳ"),O378,IF(P380&lt;&gt;"",P380,""))</f>
        <v/>
      </c>
      <c r="BD378" s="1222"/>
      <c r="BE378" s="1222" t="str">
        <f t="shared" ref="BE378" si="1000">IF(AL378&lt;&gt;0,IF(AM378="○","入力済","未入力"),"")</f>
        <v/>
      </c>
      <c r="BF378" s="1222"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2" t="str">
        <f>IF(OR(T378="新加算Ⅴ（７）",T378="新加算Ⅴ（９）",T378="新加算Ⅴ（10）",T378="新加算Ⅴ（12）",T378="新加算Ⅴ（13）",T378="新加算Ⅴ（14）"),IF(OR(AO378="○",AO378="令和６年度中に満たす"),"入力済","未入力"),"")</f>
        <v/>
      </c>
      <c r="BH378" s="1323" t="str">
        <f t="shared" ref="BH378" si="1001">IF(OR(T378="新加算Ⅰ",T378="新加算Ⅱ",T378="新加算Ⅲ",T378="新加算Ⅴ（１）",T378="新加算Ⅴ（３）",T378="新加算Ⅴ（８）"),IF(OR(AP378="○",AP378="令和６年度中に満たす"),"入力済","未入力"),"")</f>
        <v/>
      </c>
      <c r="BI378" s="1325" t="str">
        <f t="shared" ref="BI378" si="1002">IF(OR(T378="新加算Ⅰ",T378="新加算Ⅱ",T378="新加算Ⅴ（１）",T378="新加算Ⅴ（２）",T378="新加算Ⅴ（３）",T378="新加算Ⅴ（４）",T378="新加算Ⅴ（５）",T378="新加算Ⅴ（６）",T378="新加算Ⅴ（７）",T378="新加算Ⅴ（９）",T378="新加算Ⅴ（10）",T378="新加算Ⅴ（12）"),1,"")</f>
        <v/>
      </c>
      <c r="BJ378" s="1303" t="str">
        <f>IF(OR(T378="新加算Ⅰ",T378="新加算Ⅴ（１）",T378="新加算Ⅴ（２）",T378="新加算Ⅴ（５）",T378="新加算Ⅴ（７）",T378="新加算Ⅴ（10）"),IF(AR378="","未入力","入力済"),"")</f>
        <v/>
      </c>
      <c r="BK378" s="452" t="str">
        <f>G378</f>
        <v/>
      </c>
    </row>
    <row r="379" spans="1:63" ht="15" customHeight="1">
      <c r="A379" s="1267"/>
      <c r="B379" s="1235"/>
      <c r="C379" s="1236"/>
      <c r="D379" s="1236"/>
      <c r="E379" s="1236"/>
      <c r="F379" s="1237"/>
      <c r="G379" s="1252"/>
      <c r="H379" s="1252"/>
      <c r="I379" s="1252"/>
      <c r="J379" s="1415"/>
      <c r="K379" s="1252"/>
      <c r="L379" s="1276"/>
      <c r="M379" s="1371" t="str">
        <f>IF('別紙様式2-2（４・５月分）'!P288="","",'別紙様式2-2（４・５月分）'!P288)</f>
        <v/>
      </c>
      <c r="N379" s="1392"/>
      <c r="O379" s="1398"/>
      <c r="P379" s="1399"/>
      <c r="Q379" s="1400"/>
      <c r="R379" s="1402"/>
      <c r="S379" s="1404"/>
      <c r="T379" s="1406"/>
      <c r="U379" s="1408"/>
      <c r="V379" s="1410"/>
      <c r="W379" s="1348"/>
      <c r="X379" s="1350"/>
      <c r="Y379" s="1348"/>
      <c r="Z379" s="1350"/>
      <c r="AA379" s="1348"/>
      <c r="AB379" s="1350"/>
      <c r="AC379" s="1348"/>
      <c r="AD379" s="1350"/>
      <c r="AE379" s="1350"/>
      <c r="AF379" s="1350"/>
      <c r="AG379" s="1352"/>
      <c r="AH379" s="1354"/>
      <c r="AI379" s="1356"/>
      <c r="AJ379" s="1358"/>
      <c r="AK379" s="1342"/>
      <c r="AL379" s="1346"/>
      <c r="AM379" s="1332"/>
      <c r="AN379" s="1338"/>
      <c r="AO379" s="1334"/>
      <c r="AP379" s="1334"/>
      <c r="AQ379" s="1336"/>
      <c r="AR379" s="1316"/>
      <c r="AS379" s="1302"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4"/>
      <c r="AU379" s="1303"/>
      <c r="AV379" s="1304" t="str">
        <f>IF('別紙様式2-2（４・５月分）'!N288="","",'別紙様式2-2（４・５月分）'!N288)</f>
        <v/>
      </c>
      <c r="AW379" s="1305"/>
      <c r="AX379" s="1306"/>
      <c r="AY379" s="1222"/>
      <c r="AZ379" s="1222"/>
      <c r="BA379" s="1222"/>
      <c r="BB379" s="1222"/>
      <c r="BC379" s="1222"/>
      <c r="BD379" s="1222"/>
      <c r="BE379" s="1222"/>
      <c r="BF379" s="1222"/>
      <c r="BG379" s="1222"/>
      <c r="BH379" s="1324"/>
      <c r="BI379" s="1326"/>
      <c r="BJ379" s="1303"/>
      <c r="BK379" s="452" t="str">
        <f>G378</f>
        <v/>
      </c>
    </row>
    <row r="380" spans="1:63" ht="15" customHeight="1">
      <c r="A380" s="1295"/>
      <c r="B380" s="1235"/>
      <c r="C380" s="1236"/>
      <c r="D380" s="1236"/>
      <c r="E380" s="1236"/>
      <c r="F380" s="1237"/>
      <c r="G380" s="1252"/>
      <c r="H380" s="1252"/>
      <c r="I380" s="1252"/>
      <c r="J380" s="1415"/>
      <c r="K380" s="1252"/>
      <c r="L380" s="1276"/>
      <c r="M380" s="1372"/>
      <c r="N380" s="1393"/>
      <c r="O380" s="1373" t="s">
        <v>2025</v>
      </c>
      <c r="P380" s="1375" t="str">
        <f>IFERROR(VLOOKUP('別紙様式2-2（４・５月分）'!AQ287,【参考】数式用!$AR$5:$AT$22,3,FALSE),"")</f>
        <v/>
      </c>
      <c r="Q380" s="1377" t="s">
        <v>2036</v>
      </c>
      <c r="R380" s="1379" t="str">
        <f>IFERROR(VLOOKUP(K378,【参考】数式用!$A$5:$AB$37,MATCH(P380,【参考】数式用!$B$4:$AB$4,0)+1,0),"")</f>
        <v/>
      </c>
      <c r="S380" s="1381" t="s">
        <v>161</v>
      </c>
      <c r="T380" s="1383"/>
      <c r="U380" s="1385" t="str">
        <f>IFERROR(VLOOKUP(K378,【参考】数式用!$A$5:$AB$37,MATCH(T380,【参考】数式用!$B$4:$AB$4,0)+1,0),"")</f>
        <v/>
      </c>
      <c r="V380" s="1387" t="s">
        <v>15</v>
      </c>
      <c r="W380" s="1389">
        <v>7</v>
      </c>
      <c r="X380" s="1363" t="s">
        <v>10</v>
      </c>
      <c r="Y380" s="1389">
        <v>4</v>
      </c>
      <c r="Z380" s="1363" t="s">
        <v>38</v>
      </c>
      <c r="AA380" s="1389">
        <v>8</v>
      </c>
      <c r="AB380" s="1363" t="s">
        <v>10</v>
      </c>
      <c r="AC380" s="1389">
        <v>3</v>
      </c>
      <c r="AD380" s="1363" t="s">
        <v>13</v>
      </c>
      <c r="AE380" s="1363" t="s">
        <v>20</v>
      </c>
      <c r="AF380" s="1363">
        <f>IF(W380&gt;=1,(AA380*12+AC380)-(W380*12+Y380)+1,"")</f>
        <v>12</v>
      </c>
      <c r="AG380" s="1359" t="s">
        <v>33</v>
      </c>
      <c r="AH380" s="1365" t="str">
        <f t="shared" ref="AH380" si="1004">IFERROR(ROUNDDOWN(ROUND(L378*U380,0),0)*AF380,"")</f>
        <v/>
      </c>
      <c r="AI380" s="1367" t="str">
        <f t="shared" ref="AI380" si="1005">IFERROR(ROUNDDOWN(ROUND((L378*(U380-AW378)),0),0)*AF380,"")</f>
        <v/>
      </c>
      <c r="AJ380" s="1369">
        <f>IFERROR(IF(OR(M378="",M379="",M381=""),0,ROUNDDOWN(ROUNDDOWN(ROUND(L378*VLOOKUP(K378,【参考】数式用!$A$5:$AB$37,MATCH("新加算Ⅳ",【参考】数式用!$B$4:$AB$4,0)+1,0),0),0)*AF380*0.5,0)),"")</f>
        <v>0</v>
      </c>
      <c r="AK380" s="1339" t="str">
        <f t="shared" ref="AK380" si="1006">IF(T380&lt;&gt;"","新規に適用","")</f>
        <v/>
      </c>
      <c r="AL380" s="1343">
        <f>IFERROR(IF(OR(M381="ベア加算",M381=""),0, IF(OR(T378="新加算Ⅰ",T378="新加算Ⅱ",T378="新加算Ⅲ",T378="新加算Ⅳ"),0,ROUNDDOWN(ROUND(L378*VLOOKUP(K378,【参考】数式用!$A$5:$I$37,MATCH("ベア加算",【参考】数式用!$B$4:$I$4,0)+1,0),0),0)*AF380)),"")</f>
        <v>0</v>
      </c>
      <c r="AM380" s="1313" t="str">
        <f>IF(AND(T380&lt;&gt;"",AM378=""),"新規に適用",IF(AND(T380&lt;&gt;"",AM378&lt;&gt;""),"継続で適用",""))</f>
        <v/>
      </c>
      <c r="AN380" s="1313" t="str">
        <f>IF(AND(T380&lt;&gt;"",AN378=""),"新規に適用",IF(AND(T380&lt;&gt;"",AN378&lt;&gt;""),"継続で適用",""))</f>
        <v/>
      </c>
      <c r="AO380" s="1361"/>
      <c r="AP380" s="1313" t="str">
        <f>IF(AND(T380&lt;&gt;"",AP378=""),"新規に適用",IF(AND(T380&lt;&gt;"",AP378&lt;&gt;""),"継続で適用",""))</f>
        <v/>
      </c>
      <c r="AQ380" s="1317" t="str">
        <f t="shared" si="951"/>
        <v/>
      </c>
      <c r="AR380" s="1313" t="str">
        <f>IF(AND(T380&lt;&gt;"",AR378=""),"新規に適用",IF(AND(T380&lt;&gt;"",AR378&lt;&gt;""),"継続で適用",""))</f>
        <v/>
      </c>
      <c r="AS380" s="1302"/>
      <c r="AT380" s="554"/>
      <c r="AU380" s="1303" t="str">
        <f>IF(K378&lt;&gt;"","V列に色付け","")</f>
        <v/>
      </c>
      <c r="AV380" s="1304"/>
      <c r="AW380" s="1305"/>
      <c r="AX380"/>
      <c r="AY380"/>
      <c r="AZ380"/>
      <c r="BA380"/>
      <c r="BB380"/>
      <c r="BC380"/>
      <c r="BD380"/>
      <c r="BE380"/>
      <c r="BF380"/>
      <c r="BG380"/>
      <c r="BH380"/>
      <c r="BI380"/>
      <c r="BJ380"/>
      <c r="BK380" s="452" t="str">
        <f>G378</f>
        <v/>
      </c>
    </row>
    <row r="381" spans="1:63" ht="30" customHeight="1" thickBot="1">
      <c r="A381" s="1268"/>
      <c r="B381" s="1411"/>
      <c r="C381" s="1412"/>
      <c r="D381" s="1412"/>
      <c r="E381" s="1412"/>
      <c r="F381" s="1413"/>
      <c r="G381" s="1253"/>
      <c r="H381" s="1253"/>
      <c r="I381" s="1253"/>
      <c r="J381" s="1416"/>
      <c r="K381" s="1253"/>
      <c r="L381" s="1277"/>
      <c r="M381" s="553" t="str">
        <f>IF('別紙様式2-2（４・５月分）'!P289="","",'別紙様式2-2（４・５月分）'!P289)</f>
        <v/>
      </c>
      <c r="N381" s="1394"/>
      <c r="O381" s="1374"/>
      <c r="P381" s="1376"/>
      <c r="Q381" s="1378"/>
      <c r="R381" s="1380"/>
      <c r="S381" s="1382"/>
      <c r="T381" s="1384"/>
      <c r="U381" s="1386"/>
      <c r="V381" s="1388"/>
      <c r="W381" s="1390"/>
      <c r="X381" s="1364"/>
      <c r="Y381" s="1390"/>
      <c r="Z381" s="1364"/>
      <c r="AA381" s="1390"/>
      <c r="AB381" s="1364"/>
      <c r="AC381" s="1390"/>
      <c r="AD381" s="1364"/>
      <c r="AE381" s="1364"/>
      <c r="AF381" s="1364"/>
      <c r="AG381" s="1360"/>
      <c r="AH381" s="1366"/>
      <c r="AI381" s="1368"/>
      <c r="AJ381" s="1370"/>
      <c r="AK381" s="1340"/>
      <c r="AL381" s="1344"/>
      <c r="AM381" s="1314"/>
      <c r="AN381" s="1314"/>
      <c r="AO381" s="1362"/>
      <c r="AP381" s="1314"/>
      <c r="AQ381" s="1318"/>
      <c r="AR381" s="1314"/>
      <c r="AS381" s="490"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4"/>
      <c r="AU381" s="1303"/>
      <c r="AV381" s="555" t="str">
        <f>IF('別紙様式2-2（４・５月分）'!N289="","",'別紙様式2-2（４・５月分）'!N289)</f>
        <v/>
      </c>
      <c r="AW381" s="1305"/>
      <c r="AX381"/>
      <c r="AY381"/>
      <c r="AZ381"/>
      <c r="BA381"/>
      <c r="BB381"/>
      <c r="BC381"/>
      <c r="BD381"/>
      <c r="BE381"/>
      <c r="BF381"/>
      <c r="BG381"/>
      <c r="BH381"/>
      <c r="BI381"/>
      <c r="BJ381"/>
      <c r="BK381" s="452" t="str">
        <f>G378</f>
        <v/>
      </c>
    </row>
    <row r="382" spans="1:63" ht="30" customHeight="1">
      <c r="A382" s="1266">
        <v>93</v>
      </c>
      <c r="B382" s="1235" t="str">
        <f>IF(基本情報入力シート!C146="","",基本情報入力シート!C146)</f>
        <v/>
      </c>
      <c r="C382" s="1236"/>
      <c r="D382" s="1236"/>
      <c r="E382" s="1236"/>
      <c r="F382" s="1237"/>
      <c r="G382" s="1252" t="str">
        <f>IF(基本情報入力シート!M146="","",基本情報入力シート!M146)</f>
        <v/>
      </c>
      <c r="H382" s="1252" t="str">
        <f>IF(基本情報入力シート!R146="","",基本情報入力シート!R146)</f>
        <v/>
      </c>
      <c r="I382" s="1252" t="str">
        <f>IF(基本情報入力シート!W146="","",基本情報入力シート!W146)</f>
        <v/>
      </c>
      <c r="J382" s="1415" t="str">
        <f>IF(基本情報入力シート!X146="","",基本情報入力シート!X146)</f>
        <v/>
      </c>
      <c r="K382" s="1252" t="str">
        <f>IF(基本情報入力シート!Y146="","",基本情報入力シート!Y146)</f>
        <v/>
      </c>
      <c r="L382" s="1276" t="str">
        <f>IF(基本情報入力シート!AB146="","",基本情報入力シート!AB146)</f>
        <v/>
      </c>
      <c r="M382" s="550" t="str">
        <f>IF('別紙様式2-2（４・５月分）'!P290="","",'別紙様式2-2（４・５月分）'!P290)</f>
        <v/>
      </c>
      <c r="N382" s="1391" t="str">
        <f>IF(SUM('別紙様式2-2（４・５月分）'!Q290:Q292)=0,"",SUM('別紙様式2-2（４・５月分）'!Q290:Q292))</f>
        <v/>
      </c>
      <c r="O382" s="1395" t="str">
        <f>IFERROR(VLOOKUP('別紙様式2-2（４・５月分）'!AQ290,【参考】数式用!$AR$5:$AS$22,2,FALSE),"")</f>
        <v/>
      </c>
      <c r="P382" s="1396"/>
      <c r="Q382" s="1397"/>
      <c r="R382" s="1401" t="str">
        <f>IFERROR(VLOOKUP(K382,【参考】数式用!$A$5:$AB$37,MATCH(O382,【参考】数式用!$B$4:$AB$4,0)+1,0),"")</f>
        <v/>
      </c>
      <c r="S382" s="1403" t="s">
        <v>2021</v>
      </c>
      <c r="T382" s="1405"/>
      <c r="U382" s="1407" t="str">
        <f>IFERROR(VLOOKUP(K382,【参考】数式用!$A$5:$AB$37,MATCH(T382,【参考】数式用!$B$4:$AB$4,0)+1,0),"")</f>
        <v/>
      </c>
      <c r="V382" s="1409" t="s">
        <v>15</v>
      </c>
      <c r="W382" s="1347">
        <v>6</v>
      </c>
      <c r="X382" s="1349" t="s">
        <v>10</v>
      </c>
      <c r="Y382" s="1347">
        <v>6</v>
      </c>
      <c r="Z382" s="1349" t="s">
        <v>38</v>
      </c>
      <c r="AA382" s="1347">
        <v>7</v>
      </c>
      <c r="AB382" s="1349" t="s">
        <v>10</v>
      </c>
      <c r="AC382" s="1347">
        <v>3</v>
      </c>
      <c r="AD382" s="1349" t="s">
        <v>13</v>
      </c>
      <c r="AE382" s="1349" t="s">
        <v>20</v>
      </c>
      <c r="AF382" s="1349">
        <f>IF(W382&gt;=1,(AA382*12+AC382)-(W382*12+Y382)+1,"")</f>
        <v>10</v>
      </c>
      <c r="AG382" s="1351" t="s">
        <v>33</v>
      </c>
      <c r="AH382" s="1353" t="str">
        <f t="shared" ref="AH382" si="1008">IFERROR(ROUNDDOWN(ROUND(L382*U382,0),0)*AF382,"")</f>
        <v/>
      </c>
      <c r="AI382" s="1355" t="str">
        <f t="shared" ref="AI382" si="1009">IFERROR(ROUNDDOWN(ROUND((L382*(U382-AW382)),0),0)*AF382,"")</f>
        <v/>
      </c>
      <c r="AJ382" s="1357">
        <f>IFERROR(IF(OR(M382="",M383="",M385=""),0,ROUNDDOWN(ROUNDDOWN(ROUND(L382*VLOOKUP(K382,【参考】数式用!$A$5:$AB$37,MATCH("新加算Ⅳ",【参考】数式用!$B$4:$AB$4,0)+1,0),0),0)*AF382*0.5,0)),"")</f>
        <v>0</v>
      </c>
      <c r="AK382" s="1341"/>
      <c r="AL382" s="1345">
        <f>IFERROR(IF(OR(M385="ベア加算",M385=""),0, IF(OR(T382="新加算Ⅰ",T382="新加算Ⅱ",T382="新加算Ⅲ",T382="新加算Ⅳ"),ROUNDDOWN(ROUND(L382*VLOOKUP(K382,【参考】数式用!$A$5:$I$37,MATCH("ベア加算",【参考】数式用!$B$4:$I$4,0)+1,0),0),0)*AF382,0)),"")</f>
        <v>0</v>
      </c>
      <c r="AM382" s="1331"/>
      <c r="AN382" s="1337"/>
      <c r="AO382" s="1333"/>
      <c r="AP382" s="1333"/>
      <c r="AQ382" s="1335"/>
      <c r="AR382" s="1315"/>
      <c r="AS382" s="465" t="str">
        <f t="shared" ref="AS382" si="1010">IF(AU382="","",IF(U382&lt;N382,"！加算の要件上は問題ありませんが、令和６年４・５月と比較して令和６年６月に加算率が下がる計画になっています。",""))</f>
        <v/>
      </c>
      <c r="AT382" s="554"/>
      <c r="AU382" s="1303" t="str">
        <f>IF(K382&lt;&gt;"","V列に色付け","")</f>
        <v/>
      </c>
      <c r="AV382" s="555" t="str">
        <f>IF('別紙様式2-2（４・５月分）'!N290="","",'別紙様式2-2（４・５月分）'!N290)</f>
        <v/>
      </c>
      <c r="AW382" s="1305" t="str">
        <f>IF(SUM('別紙様式2-2（４・５月分）'!O290:O292)=0,"",SUM('別紙様式2-2（４・５月分）'!O290:O292))</f>
        <v/>
      </c>
      <c r="AX382" s="1306" t="str">
        <f>IFERROR(VLOOKUP(K382,【参考】数式用!$AH$2:$AI$34,2,FALSE),"")</f>
        <v/>
      </c>
      <c r="AY382" s="1222" t="s">
        <v>1959</v>
      </c>
      <c r="AZ382" s="1222" t="s">
        <v>1960</v>
      </c>
      <c r="BA382" s="1222" t="s">
        <v>1961</v>
      </c>
      <c r="BB382" s="1222" t="s">
        <v>1962</v>
      </c>
      <c r="BC382" s="1222" t="str">
        <f>IF(AND(O382&lt;&gt;"新加算Ⅰ",O382&lt;&gt;"新加算Ⅱ",O382&lt;&gt;"新加算Ⅲ",O382&lt;&gt;"新加算Ⅳ"),O382,IF(P384&lt;&gt;"",P384,""))</f>
        <v/>
      </c>
      <c r="BD382" s="1222"/>
      <c r="BE382" s="1222" t="str">
        <f t="shared" ref="BE382" si="1011">IF(AL382&lt;&gt;0,IF(AM382="○","入力済","未入力"),"")</f>
        <v/>
      </c>
      <c r="BF382" s="1222"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2" t="str">
        <f>IF(OR(T382="新加算Ⅴ（７）",T382="新加算Ⅴ（９）",T382="新加算Ⅴ（10）",T382="新加算Ⅴ（12）",T382="新加算Ⅴ（13）",T382="新加算Ⅴ（14）"),IF(OR(AO382="○",AO382="令和６年度中に満たす"),"入力済","未入力"),"")</f>
        <v/>
      </c>
      <c r="BH382" s="1323" t="str">
        <f t="shared" ref="BH382" si="1012">IF(OR(T382="新加算Ⅰ",T382="新加算Ⅱ",T382="新加算Ⅲ",T382="新加算Ⅴ（１）",T382="新加算Ⅴ（３）",T382="新加算Ⅴ（８）"),IF(OR(AP382="○",AP382="令和６年度中に満たす"),"入力済","未入力"),"")</f>
        <v/>
      </c>
      <c r="BI382" s="1325" t="str">
        <f t="shared" ref="BI382" si="1013">IF(OR(T382="新加算Ⅰ",T382="新加算Ⅱ",T382="新加算Ⅴ（１）",T382="新加算Ⅴ（２）",T382="新加算Ⅴ（３）",T382="新加算Ⅴ（４）",T382="新加算Ⅴ（５）",T382="新加算Ⅴ（６）",T382="新加算Ⅴ（７）",T382="新加算Ⅴ（９）",T382="新加算Ⅴ（10）",T382="新加算Ⅴ（12）"),1,"")</f>
        <v/>
      </c>
      <c r="BJ382" s="1303" t="str">
        <f>IF(OR(T382="新加算Ⅰ",T382="新加算Ⅴ（１）",T382="新加算Ⅴ（２）",T382="新加算Ⅴ（５）",T382="新加算Ⅴ（７）",T382="新加算Ⅴ（10）"),IF(AR382="","未入力","入力済"),"")</f>
        <v/>
      </c>
      <c r="BK382" s="452" t="str">
        <f>G382</f>
        <v/>
      </c>
    </row>
    <row r="383" spans="1:63" ht="15" customHeight="1">
      <c r="A383" s="1267"/>
      <c r="B383" s="1235"/>
      <c r="C383" s="1236"/>
      <c r="D383" s="1236"/>
      <c r="E383" s="1236"/>
      <c r="F383" s="1237"/>
      <c r="G383" s="1252"/>
      <c r="H383" s="1252"/>
      <c r="I383" s="1252"/>
      <c r="J383" s="1415"/>
      <c r="K383" s="1252"/>
      <c r="L383" s="1276"/>
      <c r="M383" s="1371" t="str">
        <f>IF('別紙様式2-2（４・５月分）'!P291="","",'別紙様式2-2（４・５月分）'!P291)</f>
        <v/>
      </c>
      <c r="N383" s="1392"/>
      <c r="O383" s="1398"/>
      <c r="P383" s="1399"/>
      <c r="Q383" s="1400"/>
      <c r="R383" s="1402"/>
      <c r="S383" s="1404"/>
      <c r="T383" s="1406"/>
      <c r="U383" s="1408"/>
      <c r="V383" s="1410"/>
      <c r="W383" s="1348"/>
      <c r="X383" s="1350"/>
      <c r="Y383" s="1348"/>
      <c r="Z383" s="1350"/>
      <c r="AA383" s="1348"/>
      <c r="AB383" s="1350"/>
      <c r="AC383" s="1348"/>
      <c r="AD383" s="1350"/>
      <c r="AE383" s="1350"/>
      <c r="AF383" s="1350"/>
      <c r="AG383" s="1352"/>
      <c r="AH383" s="1354"/>
      <c r="AI383" s="1356"/>
      <c r="AJ383" s="1358"/>
      <c r="AK383" s="1342"/>
      <c r="AL383" s="1346"/>
      <c r="AM383" s="1332"/>
      <c r="AN383" s="1338"/>
      <c r="AO383" s="1334"/>
      <c r="AP383" s="1334"/>
      <c r="AQ383" s="1336"/>
      <c r="AR383" s="1316"/>
      <c r="AS383" s="1302"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4"/>
      <c r="AU383" s="1303"/>
      <c r="AV383" s="1304" t="str">
        <f>IF('別紙様式2-2（４・５月分）'!N291="","",'別紙様式2-2（４・５月分）'!N291)</f>
        <v/>
      </c>
      <c r="AW383" s="1305"/>
      <c r="AX383" s="1306"/>
      <c r="AY383" s="1222"/>
      <c r="AZ383" s="1222"/>
      <c r="BA383" s="1222"/>
      <c r="BB383" s="1222"/>
      <c r="BC383" s="1222"/>
      <c r="BD383" s="1222"/>
      <c r="BE383" s="1222"/>
      <c r="BF383" s="1222"/>
      <c r="BG383" s="1222"/>
      <c r="BH383" s="1324"/>
      <c r="BI383" s="1326"/>
      <c r="BJ383" s="1303"/>
      <c r="BK383" s="452" t="str">
        <f>G382</f>
        <v/>
      </c>
    </row>
    <row r="384" spans="1:63" ht="15" customHeight="1">
      <c r="A384" s="1295"/>
      <c r="B384" s="1235"/>
      <c r="C384" s="1236"/>
      <c r="D384" s="1236"/>
      <c r="E384" s="1236"/>
      <c r="F384" s="1237"/>
      <c r="G384" s="1252"/>
      <c r="H384" s="1252"/>
      <c r="I384" s="1252"/>
      <c r="J384" s="1415"/>
      <c r="K384" s="1252"/>
      <c r="L384" s="1276"/>
      <c r="M384" s="1372"/>
      <c r="N384" s="1393"/>
      <c r="O384" s="1373" t="s">
        <v>2025</v>
      </c>
      <c r="P384" s="1375" t="str">
        <f>IFERROR(VLOOKUP('別紙様式2-2（４・５月分）'!AQ290,【参考】数式用!$AR$5:$AT$22,3,FALSE),"")</f>
        <v/>
      </c>
      <c r="Q384" s="1377" t="s">
        <v>2036</v>
      </c>
      <c r="R384" s="1379" t="str">
        <f>IFERROR(VLOOKUP(K382,【参考】数式用!$A$5:$AB$37,MATCH(P384,【参考】数式用!$B$4:$AB$4,0)+1,0),"")</f>
        <v/>
      </c>
      <c r="S384" s="1381" t="s">
        <v>161</v>
      </c>
      <c r="T384" s="1383"/>
      <c r="U384" s="1385" t="str">
        <f>IFERROR(VLOOKUP(K382,【参考】数式用!$A$5:$AB$37,MATCH(T384,【参考】数式用!$B$4:$AB$4,0)+1,0),"")</f>
        <v/>
      </c>
      <c r="V384" s="1387" t="s">
        <v>15</v>
      </c>
      <c r="W384" s="1389">
        <v>7</v>
      </c>
      <c r="X384" s="1363" t="s">
        <v>10</v>
      </c>
      <c r="Y384" s="1389">
        <v>4</v>
      </c>
      <c r="Z384" s="1363" t="s">
        <v>38</v>
      </c>
      <c r="AA384" s="1389">
        <v>8</v>
      </c>
      <c r="AB384" s="1363" t="s">
        <v>10</v>
      </c>
      <c r="AC384" s="1389">
        <v>3</v>
      </c>
      <c r="AD384" s="1363" t="s">
        <v>13</v>
      </c>
      <c r="AE384" s="1363" t="s">
        <v>20</v>
      </c>
      <c r="AF384" s="1363">
        <f>IF(W384&gt;=1,(AA384*12+AC384)-(W384*12+Y384)+1,"")</f>
        <v>12</v>
      </c>
      <c r="AG384" s="1359" t="s">
        <v>33</v>
      </c>
      <c r="AH384" s="1365" t="str">
        <f t="shared" ref="AH384" si="1015">IFERROR(ROUNDDOWN(ROUND(L382*U384,0),0)*AF384,"")</f>
        <v/>
      </c>
      <c r="AI384" s="1367" t="str">
        <f t="shared" ref="AI384" si="1016">IFERROR(ROUNDDOWN(ROUND((L382*(U384-AW382)),0),0)*AF384,"")</f>
        <v/>
      </c>
      <c r="AJ384" s="1369">
        <f>IFERROR(IF(OR(M382="",M383="",M385=""),0,ROUNDDOWN(ROUNDDOWN(ROUND(L382*VLOOKUP(K382,【参考】数式用!$A$5:$AB$37,MATCH("新加算Ⅳ",【参考】数式用!$B$4:$AB$4,0)+1,0),0),0)*AF384*0.5,0)),"")</f>
        <v>0</v>
      </c>
      <c r="AK384" s="1339" t="str">
        <f t="shared" ref="AK384" si="1017">IF(T384&lt;&gt;"","新規に適用","")</f>
        <v/>
      </c>
      <c r="AL384" s="1343">
        <f>IFERROR(IF(OR(M385="ベア加算",M385=""),0, IF(OR(T382="新加算Ⅰ",T382="新加算Ⅱ",T382="新加算Ⅲ",T382="新加算Ⅳ"),0,ROUNDDOWN(ROUND(L382*VLOOKUP(K382,【参考】数式用!$A$5:$I$37,MATCH("ベア加算",【参考】数式用!$B$4:$I$4,0)+1,0),0),0)*AF384)),"")</f>
        <v>0</v>
      </c>
      <c r="AM384" s="1313" t="str">
        <f>IF(AND(T384&lt;&gt;"",AM382=""),"新規に適用",IF(AND(T384&lt;&gt;"",AM382&lt;&gt;""),"継続で適用",""))</f>
        <v/>
      </c>
      <c r="AN384" s="1313" t="str">
        <f>IF(AND(T384&lt;&gt;"",AN382=""),"新規に適用",IF(AND(T384&lt;&gt;"",AN382&lt;&gt;""),"継続で適用",""))</f>
        <v/>
      </c>
      <c r="AO384" s="1361"/>
      <c r="AP384" s="1313" t="str">
        <f>IF(AND(T384&lt;&gt;"",AP382=""),"新規に適用",IF(AND(T384&lt;&gt;"",AP382&lt;&gt;""),"継続で適用",""))</f>
        <v/>
      </c>
      <c r="AQ384" s="1317" t="str">
        <f t="shared" si="951"/>
        <v/>
      </c>
      <c r="AR384" s="1313" t="str">
        <f>IF(AND(T384&lt;&gt;"",AR382=""),"新規に適用",IF(AND(T384&lt;&gt;"",AR382&lt;&gt;""),"継続で適用",""))</f>
        <v/>
      </c>
      <c r="AS384" s="1302"/>
      <c r="AT384" s="554"/>
      <c r="AU384" s="1303" t="str">
        <f>IF(K382&lt;&gt;"","V列に色付け","")</f>
        <v/>
      </c>
      <c r="AV384" s="1304"/>
      <c r="AW384" s="1305"/>
      <c r="AX384"/>
      <c r="AY384"/>
      <c r="AZ384"/>
      <c r="BA384"/>
      <c r="BB384"/>
      <c r="BC384"/>
      <c r="BD384"/>
      <c r="BE384"/>
      <c r="BF384"/>
      <c r="BG384"/>
      <c r="BH384"/>
      <c r="BI384"/>
      <c r="BJ384"/>
      <c r="BK384" s="452" t="str">
        <f>G382</f>
        <v/>
      </c>
    </row>
    <row r="385" spans="1:63" ht="30" customHeight="1" thickBot="1">
      <c r="A385" s="1268"/>
      <c r="B385" s="1411"/>
      <c r="C385" s="1412"/>
      <c r="D385" s="1412"/>
      <c r="E385" s="1412"/>
      <c r="F385" s="1413"/>
      <c r="G385" s="1253"/>
      <c r="H385" s="1253"/>
      <c r="I385" s="1253"/>
      <c r="J385" s="1416"/>
      <c r="K385" s="1253"/>
      <c r="L385" s="1277"/>
      <c r="M385" s="553" t="str">
        <f>IF('別紙様式2-2（４・５月分）'!P292="","",'別紙様式2-2（４・５月分）'!P292)</f>
        <v/>
      </c>
      <c r="N385" s="1394"/>
      <c r="O385" s="1374"/>
      <c r="P385" s="1376"/>
      <c r="Q385" s="1378"/>
      <c r="R385" s="1380"/>
      <c r="S385" s="1382"/>
      <c r="T385" s="1384"/>
      <c r="U385" s="1386"/>
      <c r="V385" s="1388"/>
      <c r="W385" s="1390"/>
      <c r="X385" s="1364"/>
      <c r="Y385" s="1390"/>
      <c r="Z385" s="1364"/>
      <c r="AA385" s="1390"/>
      <c r="AB385" s="1364"/>
      <c r="AC385" s="1390"/>
      <c r="AD385" s="1364"/>
      <c r="AE385" s="1364"/>
      <c r="AF385" s="1364"/>
      <c r="AG385" s="1360"/>
      <c r="AH385" s="1366"/>
      <c r="AI385" s="1368"/>
      <c r="AJ385" s="1370"/>
      <c r="AK385" s="1340"/>
      <c r="AL385" s="1344"/>
      <c r="AM385" s="1314"/>
      <c r="AN385" s="1314"/>
      <c r="AO385" s="1362"/>
      <c r="AP385" s="1314"/>
      <c r="AQ385" s="1318"/>
      <c r="AR385" s="1314"/>
      <c r="AS385" s="490"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4"/>
      <c r="AU385" s="1303"/>
      <c r="AV385" s="555" t="str">
        <f>IF('別紙様式2-2（４・５月分）'!N292="","",'別紙様式2-2（４・５月分）'!N292)</f>
        <v/>
      </c>
      <c r="AW385" s="1305"/>
      <c r="AX385"/>
      <c r="AY385"/>
      <c r="AZ385"/>
      <c r="BA385"/>
      <c r="BB385"/>
      <c r="BC385"/>
      <c r="BD385"/>
      <c r="BE385"/>
      <c r="BF385"/>
      <c r="BG385"/>
      <c r="BH385"/>
      <c r="BI385"/>
      <c r="BJ385"/>
      <c r="BK385" s="452" t="str">
        <f>G382</f>
        <v/>
      </c>
    </row>
    <row r="386" spans="1:63" ht="30" customHeight="1">
      <c r="A386" s="1293">
        <v>94</v>
      </c>
      <c r="B386" s="1232" t="str">
        <f>IF(基本情報入力シート!C147="","",基本情報入力シート!C147)</f>
        <v/>
      </c>
      <c r="C386" s="1233"/>
      <c r="D386" s="1233"/>
      <c r="E386" s="1233"/>
      <c r="F386" s="1234"/>
      <c r="G386" s="1251" t="str">
        <f>IF(基本情報入力シート!M147="","",基本情報入力シート!M147)</f>
        <v/>
      </c>
      <c r="H386" s="1251" t="str">
        <f>IF(基本情報入力シート!R147="","",基本情報入力シート!R147)</f>
        <v/>
      </c>
      <c r="I386" s="1251" t="str">
        <f>IF(基本情報入力シート!W147="","",基本情報入力シート!W147)</f>
        <v/>
      </c>
      <c r="J386" s="1414" t="str">
        <f>IF(基本情報入力シート!X147="","",基本情報入力シート!X147)</f>
        <v/>
      </c>
      <c r="K386" s="1251" t="str">
        <f>IF(基本情報入力シート!Y147="","",基本情報入力シート!Y147)</f>
        <v/>
      </c>
      <c r="L386" s="1275" t="str">
        <f>IF(基本情報入力シート!AB147="","",基本情報入力シート!AB147)</f>
        <v/>
      </c>
      <c r="M386" s="550" t="str">
        <f>IF('別紙様式2-2（４・５月分）'!P293="","",'別紙様式2-2（４・５月分）'!P293)</f>
        <v/>
      </c>
      <c r="N386" s="1391" t="str">
        <f>IF(SUM('別紙様式2-2（４・５月分）'!Q293:Q295)=0,"",SUM('別紙様式2-2（４・５月分）'!Q293:Q295))</f>
        <v/>
      </c>
      <c r="O386" s="1395" t="str">
        <f>IFERROR(VLOOKUP('別紙様式2-2（４・５月分）'!AQ293,【参考】数式用!$AR$5:$AS$22,2,FALSE),"")</f>
        <v/>
      </c>
      <c r="P386" s="1396"/>
      <c r="Q386" s="1397"/>
      <c r="R386" s="1401" t="str">
        <f>IFERROR(VLOOKUP(K386,【参考】数式用!$A$5:$AB$37,MATCH(O386,【参考】数式用!$B$4:$AB$4,0)+1,0),"")</f>
        <v/>
      </c>
      <c r="S386" s="1403" t="s">
        <v>2021</v>
      </c>
      <c r="T386" s="1405"/>
      <c r="U386" s="1407" t="str">
        <f>IFERROR(VLOOKUP(K386,【参考】数式用!$A$5:$AB$37,MATCH(T386,【参考】数式用!$B$4:$AB$4,0)+1,0),"")</f>
        <v/>
      </c>
      <c r="V386" s="1409" t="s">
        <v>15</v>
      </c>
      <c r="W386" s="1347">
        <v>6</v>
      </c>
      <c r="X386" s="1349" t="s">
        <v>10</v>
      </c>
      <c r="Y386" s="1347">
        <v>6</v>
      </c>
      <c r="Z386" s="1349" t="s">
        <v>38</v>
      </c>
      <c r="AA386" s="1347">
        <v>7</v>
      </c>
      <c r="AB386" s="1349" t="s">
        <v>10</v>
      </c>
      <c r="AC386" s="1347">
        <v>3</v>
      </c>
      <c r="AD386" s="1349" t="s">
        <v>13</v>
      </c>
      <c r="AE386" s="1349" t="s">
        <v>20</v>
      </c>
      <c r="AF386" s="1349">
        <f>IF(W386&gt;=1,(AA386*12+AC386)-(W386*12+Y386)+1,"")</f>
        <v>10</v>
      </c>
      <c r="AG386" s="1351" t="s">
        <v>33</v>
      </c>
      <c r="AH386" s="1353" t="str">
        <f t="shared" ref="AH386" si="1019">IFERROR(ROUNDDOWN(ROUND(L386*U386,0),0)*AF386,"")</f>
        <v/>
      </c>
      <c r="AI386" s="1355" t="str">
        <f t="shared" ref="AI386" si="1020">IFERROR(ROUNDDOWN(ROUND((L386*(U386-AW386)),0),0)*AF386,"")</f>
        <v/>
      </c>
      <c r="AJ386" s="1357">
        <f>IFERROR(IF(OR(M386="",M387="",M389=""),0,ROUNDDOWN(ROUNDDOWN(ROUND(L386*VLOOKUP(K386,【参考】数式用!$A$5:$AB$37,MATCH("新加算Ⅳ",【参考】数式用!$B$4:$AB$4,0)+1,0),0),0)*AF386*0.5,0)),"")</f>
        <v>0</v>
      </c>
      <c r="AK386" s="1341"/>
      <c r="AL386" s="1345">
        <f>IFERROR(IF(OR(M389="ベア加算",M389=""),0, IF(OR(T386="新加算Ⅰ",T386="新加算Ⅱ",T386="新加算Ⅲ",T386="新加算Ⅳ"),ROUNDDOWN(ROUND(L386*VLOOKUP(K386,【参考】数式用!$A$5:$I$37,MATCH("ベア加算",【参考】数式用!$B$4:$I$4,0)+1,0),0),0)*AF386,0)),"")</f>
        <v>0</v>
      </c>
      <c r="AM386" s="1331"/>
      <c r="AN386" s="1337"/>
      <c r="AO386" s="1333"/>
      <c r="AP386" s="1333"/>
      <c r="AQ386" s="1335"/>
      <c r="AR386" s="1315"/>
      <c r="AS386" s="465" t="str">
        <f t="shared" ref="AS386" si="1021">IF(AU386="","",IF(U386&lt;N386,"！加算の要件上は問題ありませんが、令和６年４・５月と比較して令和６年６月に加算率が下がる計画になっています。",""))</f>
        <v/>
      </c>
      <c r="AT386" s="554"/>
      <c r="AU386" s="1303" t="str">
        <f>IF(K386&lt;&gt;"","V列に色付け","")</f>
        <v/>
      </c>
      <c r="AV386" s="555" t="str">
        <f>IF('別紙様式2-2（４・５月分）'!N293="","",'別紙様式2-2（４・５月分）'!N293)</f>
        <v/>
      </c>
      <c r="AW386" s="1305" t="str">
        <f>IF(SUM('別紙様式2-2（４・５月分）'!O293:O295)=0,"",SUM('別紙様式2-2（４・５月分）'!O293:O295))</f>
        <v/>
      </c>
      <c r="AX386" s="1306" t="str">
        <f>IFERROR(VLOOKUP(K386,【参考】数式用!$AH$2:$AI$34,2,FALSE),"")</f>
        <v/>
      </c>
      <c r="AY386" s="1222" t="s">
        <v>1959</v>
      </c>
      <c r="AZ386" s="1222" t="s">
        <v>1960</v>
      </c>
      <c r="BA386" s="1222" t="s">
        <v>1961</v>
      </c>
      <c r="BB386" s="1222" t="s">
        <v>1962</v>
      </c>
      <c r="BC386" s="1222" t="str">
        <f>IF(AND(O386&lt;&gt;"新加算Ⅰ",O386&lt;&gt;"新加算Ⅱ",O386&lt;&gt;"新加算Ⅲ",O386&lt;&gt;"新加算Ⅳ"),O386,IF(P388&lt;&gt;"",P388,""))</f>
        <v/>
      </c>
      <c r="BD386" s="1222"/>
      <c r="BE386" s="1222" t="str">
        <f t="shared" ref="BE386" si="1022">IF(AL386&lt;&gt;0,IF(AM386="○","入力済","未入力"),"")</f>
        <v/>
      </c>
      <c r="BF386" s="1222"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2" t="str">
        <f>IF(OR(T386="新加算Ⅴ（７）",T386="新加算Ⅴ（９）",T386="新加算Ⅴ（10）",T386="新加算Ⅴ（12）",T386="新加算Ⅴ（13）",T386="新加算Ⅴ（14）"),IF(OR(AO386="○",AO386="令和６年度中に満たす"),"入力済","未入力"),"")</f>
        <v/>
      </c>
      <c r="BH386" s="1323" t="str">
        <f t="shared" ref="BH386" si="1023">IF(OR(T386="新加算Ⅰ",T386="新加算Ⅱ",T386="新加算Ⅲ",T386="新加算Ⅴ（１）",T386="新加算Ⅴ（３）",T386="新加算Ⅴ（８）"),IF(OR(AP386="○",AP386="令和６年度中に満たす"),"入力済","未入力"),"")</f>
        <v/>
      </c>
      <c r="BI386" s="1325" t="str">
        <f t="shared" ref="BI386" si="1024">IF(OR(T386="新加算Ⅰ",T386="新加算Ⅱ",T386="新加算Ⅴ（１）",T386="新加算Ⅴ（２）",T386="新加算Ⅴ（３）",T386="新加算Ⅴ（４）",T386="新加算Ⅴ（５）",T386="新加算Ⅴ（６）",T386="新加算Ⅴ（７）",T386="新加算Ⅴ（９）",T386="新加算Ⅴ（10）",T386="新加算Ⅴ（12）"),1,"")</f>
        <v/>
      </c>
      <c r="BJ386" s="1303" t="str">
        <f>IF(OR(T386="新加算Ⅰ",T386="新加算Ⅴ（１）",T386="新加算Ⅴ（２）",T386="新加算Ⅴ（５）",T386="新加算Ⅴ（７）",T386="新加算Ⅴ（10）"),IF(AR386="","未入力","入力済"),"")</f>
        <v/>
      </c>
      <c r="BK386" s="452" t="str">
        <f>G386</f>
        <v/>
      </c>
    </row>
    <row r="387" spans="1:63" ht="15" customHeight="1">
      <c r="A387" s="1267"/>
      <c r="B387" s="1235"/>
      <c r="C387" s="1236"/>
      <c r="D387" s="1236"/>
      <c r="E387" s="1236"/>
      <c r="F387" s="1237"/>
      <c r="G387" s="1252"/>
      <c r="H387" s="1252"/>
      <c r="I387" s="1252"/>
      <c r="J387" s="1415"/>
      <c r="K387" s="1252"/>
      <c r="L387" s="1276"/>
      <c r="M387" s="1371" t="str">
        <f>IF('別紙様式2-2（４・５月分）'!P294="","",'別紙様式2-2（４・５月分）'!P294)</f>
        <v/>
      </c>
      <c r="N387" s="1392"/>
      <c r="O387" s="1398"/>
      <c r="P387" s="1399"/>
      <c r="Q387" s="1400"/>
      <c r="R387" s="1402"/>
      <c r="S387" s="1404"/>
      <c r="T387" s="1406"/>
      <c r="U387" s="1408"/>
      <c r="V387" s="1410"/>
      <c r="W387" s="1348"/>
      <c r="X387" s="1350"/>
      <c r="Y387" s="1348"/>
      <c r="Z387" s="1350"/>
      <c r="AA387" s="1348"/>
      <c r="AB387" s="1350"/>
      <c r="AC387" s="1348"/>
      <c r="AD387" s="1350"/>
      <c r="AE387" s="1350"/>
      <c r="AF387" s="1350"/>
      <c r="AG387" s="1352"/>
      <c r="AH387" s="1354"/>
      <c r="AI387" s="1356"/>
      <c r="AJ387" s="1358"/>
      <c r="AK387" s="1342"/>
      <c r="AL387" s="1346"/>
      <c r="AM387" s="1332"/>
      <c r="AN387" s="1338"/>
      <c r="AO387" s="1334"/>
      <c r="AP387" s="1334"/>
      <c r="AQ387" s="1336"/>
      <c r="AR387" s="1316"/>
      <c r="AS387" s="1302"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4"/>
      <c r="AU387" s="1303"/>
      <c r="AV387" s="1304" t="str">
        <f>IF('別紙様式2-2（４・５月分）'!N294="","",'別紙様式2-2（４・５月分）'!N294)</f>
        <v/>
      </c>
      <c r="AW387" s="1305"/>
      <c r="AX387" s="1306"/>
      <c r="AY387" s="1222"/>
      <c r="AZ387" s="1222"/>
      <c r="BA387" s="1222"/>
      <c r="BB387" s="1222"/>
      <c r="BC387" s="1222"/>
      <c r="BD387" s="1222"/>
      <c r="BE387" s="1222"/>
      <c r="BF387" s="1222"/>
      <c r="BG387" s="1222"/>
      <c r="BH387" s="1324"/>
      <c r="BI387" s="1326"/>
      <c r="BJ387" s="1303"/>
      <c r="BK387" s="452" t="str">
        <f>G386</f>
        <v/>
      </c>
    </row>
    <row r="388" spans="1:63" ht="15" customHeight="1">
      <c r="A388" s="1295"/>
      <c r="B388" s="1235"/>
      <c r="C388" s="1236"/>
      <c r="D388" s="1236"/>
      <c r="E388" s="1236"/>
      <c r="F388" s="1237"/>
      <c r="G388" s="1252"/>
      <c r="H388" s="1252"/>
      <c r="I388" s="1252"/>
      <c r="J388" s="1415"/>
      <c r="K388" s="1252"/>
      <c r="L388" s="1276"/>
      <c r="M388" s="1372"/>
      <c r="N388" s="1393"/>
      <c r="O388" s="1373" t="s">
        <v>2025</v>
      </c>
      <c r="P388" s="1375" t="str">
        <f>IFERROR(VLOOKUP('別紙様式2-2（４・５月分）'!AQ293,【参考】数式用!$AR$5:$AT$22,3,FALSE),"")</f>
        <v/>
      </c>
      <c r="Q388" s="1377" t="s">
        <v>2036</v>
      </c>
      <c r="R388" s="1379" t="str">
        <f>IFERROR(VLOOKUP(K386,【参考】数式用!$A$5:$AB$37,MATCH(P388,【参考】数式用!$B$4:$AB$4,0)+1,0),"")</f>
        <v/>
      </c>
      <c r="S388" s="1381" t="s">
        <v>161</v>
      </c>
      <c r="T388" s="1383"/>
      <c r="U388" s="1385" t="str">
        <f>IFERROR(VLOOKUP(K386,【参考】数式用!$A$5:$AB$37,MATCH(T388,【参考】数式用!$B$4:$AB$4,0)+1,0),"")</f>
        <v/>
      </c>
      <c r="V388" s="1387" t="s">
        <v>15</v>
      </c>
      <c r="W388" s="1389">
        <v>7</v>
      </c>
      <c r="X388" s="1363" t="s">
        <v>10</v>
      </c>
      <c r="Y388" s="1389">
        <v>4</v>
      </c>
      <c r="Z388" s="1363" t="s">
        <v>38</v>
      </c>
      <c r="AA388" s="1389">
        <v>8</v>
      </c>
      <c r="AB388" s="1363" t="s">
        <v>10</v>
      </c>
      <c r="AC388" s="1389">
        <v>3</v>
      </c>
      <c r="AD388" s="1363" t="s">
        <v>13</v>
      </c>
      <c r="AE388" s="1363" t="s">
        <v>20</v>
      </c>
      <c r="AF388" s="1363">
        <f>IF(W388&gt;=1,(AA388*12+AC388)-(W388*12+Y388)+1,"")</f>
        <v>12</v>
      </c>
      <c r="AG388" s="1359" t="s">
        <v>33</v>
      </c>
      <c r="AH388" s="1365" t="str">
        <f t="shared" ref="AH388" si="1026">IFERROR(ROUNDDOWN(ROUND(L386*U388,0),0)*AF388,"")</f>
        <v/>
      </c>
      <c r="AI388" s="1367" t="str">
        <f t="shared" ref="AI388" si="1027">IFERROR(ROUNDDOWN(ROUND((L386*(U388-AW386)),0),0)*AF388,"")</f>
        <v/>
      </c>
      <c r="AJ388" s="1369">
        <f>IFERROR(IF(OR(M386="",M387="",M389=""),0,ROUNDDOWN(ROUNDDOWN(ROUND(L386*VLOOKUP(K386,【参考】数式用!$A$5:$AB$37,MATCH("新加算Ⅳ",【参考】数式用!$B$4:$AB$4,0)+1,0),0),0)*AF388*0.5,0)),"")</f>
        <v>0</v>
      </c>
      <c r="AK388" s="1339" t="str">
        <f t="shared" ref="AK388" si="1028">IF(T388&lt;&gt;"","新規に適用","")</f>
        <v/>
      </c>
      <c r="AL388" s="1343">
        <f>IFERROR(IF(OR(M389="ベア加算",M389=""),0, IF(OR(T386="新加算Ⅰ",T386="新加算Ⅱ",T386="新加算Ⅲ",T386="新加算Ⅳ"),0,ROUNDDOWN(ROUND(L386*VLOOKUP(K386,【参考】数式用!$A$5:$I$37,MATCH("ベア加算",【参考】数式用!$B$4:$I$4,0)+1,0),0),0)*AF388)),"")</f>
        <v>0</v>
      </c>
      <c r="AM388" s="1313" t="str">
        <f>IF(AND(T388&lt;&gt;"",AM386=""),"新規に適用",IF(AND(T388&lt;&gt;"",AM386&lt;&gt;""),"継続で適用",""))</f>
        <v/>
      </c>
      <c r="AN388" s="1313" t="str">
        <f>IF(AND(T388&lt;&gt;"",AN386=""),"新規に適用",IF(AND(T388&lt;&gt;"",AN386&lt;&gt;""),"継続で適用",""))</f>
        <v/>
      </c>
      <c r="AO388" s="1361"/>
      <c r="AP388" s="1313" t="str">
        <f>IF(AND(T388&lt;&gt;"",AP386=""),"新規に適用",IF(AND(T388&lt;&gt;"",AP386&lt;&gt;""),"継続で適用",""))</f>
        <v/>
      </c>
      <c r="AQ388" s="1317" t="str">
        <f t="shared" si="951"/>
        <v/>
      </c>
      <c r="AR388" s="1313" t="str">
        <f>IF(AND(T388&lt;&gt;"",AR386=""),"新規に適用",IF(AND(T388&lt;&gt;"",AR386&lt;&gt;""),"継続で適用",""))</f>
        <v/>
      </c>
      <c r="AS388" s="1302"/>
      <c r="AT388" s="554"/>
      <c r="AU388" s="1303" t="str">
        <f>IF(K386&lt;&gt;"","V列に色付け","")</f>
        <v/>
      </c>
      <c r="AV388" s="1304"/>
      <c r="AW388" s="1305"/>
      <c r="AX388"/>
      <c r="AY388"/>
      <c r="AZ388"/>
      <c r="BA388"/>
      <c r="BB388"/>
      <c r="BC388"/>
      <c r="BD388"/>
      <c r="BE388"/>
      <c r="BF388"/>
      <c r="BG388"/>
      <c r="BH388"/>
      <c r="BI388"/>
      <c r="BJ388"/>
      <c r="BK388" s="452" t="str">
        <f>G386</f>
        <v/>
      </c>
    </row>
    <row r="389" spans="1:63" ht="30" customHeight="1" thickBot="1">
      <c r="A389" s="1268"/>
      <c r="B389" s="1411"/>
      <c r="C389" s="1412"/>
      <c r="D389" s="1412"/>
      <c r="E389" s="1412"/>
      <c r="F389" s="1413"/>
      <c r="G389" s="1253"/>
      <c r="H389" s="1253"/>
      <c r="I389" s="1253"/>
      <c r="J389" s="1416"/>
      <c r="K389" s="1253"/>
      <c r="L389" s="1277"/>
      <c r="M389" s="553" t="str">
        <f>IF('別紙様式2-2（４・５月分）'!P295="","",'別紙様式2-2（４・５月分）'!P295)</f>
        <v/>
      </c>
      <c r="N389" s="1394"/>
      <c r="O389" s="1374"/>
      <c r="P389" s="1376"/>
      <c r="Q389" s="1378"/>
      <c r="R389" s="1380"/>
      <c r="S389" s="1382"/>
      <c r="T389" s="1384"/>
      <c r="U389" s="1386"/>
      <c r="V389" s="1388"/>
      <c r="W389" s="1390"/>
      <c r="X389" s="1364"/>
      <c r="Y389" s="1390"/>
      <c r="Z389" s="1364"/>
      <c r="AA389" s="1390"/>
      <c r="AB389" s="1364"/>
      <c r="AC389" s="1390"/>
      <c r="AD389" s="1364"/>
      <c r="AE389" s="1364"/>
      <c r="AF389" s="1364"/>
      <c r="AG389" s="1360"/>
      <c r="AH389" s="1366"/>
      <c r="AI389" s="1368"/>
      <c r="AJ389" s="1370"/>
      <c r="AK389" s="1340"/>
      <c r="AL389" s="1344"/>
      <c r="AM389" s="1314"/>
      <c r="AN389" s="1314"/>
      <c r="AO389" s="1362"/>
      <c r="AP389" s="1314"/>
      <c r="AQ389" s="1318"/>
      <c r="AR389" s="1314"/>
      <c r="AS389" s="490"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4"/>
      <c r="AU389" s="1303"/>
      <c r="AV389" s="555" t="str">
        <f>IF('別紙様式2-2（４・５月分）'!N295="","",'別紙様式2-2（４・５月分）'!N295)</f>
        <v/>
      </c>
      <c r="AW389" s="1305"/>
      <c r="AX389"/>
      <c r="AY389"/>
      <c r="AZ389"/>
      <c r="BA389"/>
      <c r="BB389"/>
      <c r="BC389"/>
      <c r="BD389"/>
      <c r="BE389"/>
      <c r="BF389"/>
      <c r="BG389"/>
      <c r="BH389"/>
      <c r="BI389"/>
      <c r="BJ389"/>
      <c r="BK389" s="452" t="str">
        <f>G386</f>
        <v/>
      </c>
    </row>
    <row r="390" spans="1:63" ht="30" customHeight="1">
      <c r="A390" s="1266">
        <v>95</v>
      </c>
      <c r="B390" s="1235" t="str">
        <f>IF(基本情報入力シート!C148="","",基本情報入力シート!C148)</f>
        <v/>
      </c>
      <c r="C390" s="1236"/>
      <c r="D390" s="1236"/>
      <c r="E390" s="1236"/>
      <c r="F390" s="1237"/>
      <c r="G390" s="1252" t="str">
        <f>IF(基本情報入力シート!M148="","",基本情報入力シート!M148)</f>
        <v/>
      </c>
      <c r="H390" s="1252" t="str">
        <f>IF(基本情報入力シート!R148="","",基本情報入力シート!R148)</f>
        <v/>
      </c>
      <c r="I390" s="1252" t="str">
        <f>IF(基本情報入力シート!W148="","",基本情報入力シート!W148)</f>
        <v/>
      </c>
      <c r="J390" s="1415" t="str">
        <f>IF(基本情報入力シート!X148="","",基本情報入力シート!X148)</f>
        <v/>
      </c>
      <c r="K390" s="1252" t="str">
        <f>IF(基本情報入力シート!Y148="","",基本情報入力シート!Y148)</f>
        <v/>
      </c>
      <c r="L390" s="1276" t="str">
        <f>IF(基本情報入力シート!AB148="","",基本情報入力シート!AB148)</f>
        <v/>
      </c>
      <c r="M390" s="550" t="str">
        <f>IF('別紙様式2-2（４・５月分）'!P296="","",'別紙様式2-2（４・５月分）'!P296)</f>
        <v/>
      </c>
      <c r="N390" s="1391" t="str">
        <f>IF(SUM('別紙様式2-2（４・５月分）'!Q296:Q298)=0,"",SUM('別紙様式2-2（４・５月分）'!Q296:Q298))</f>
        <v/>
      </c>
      <c r="O390" s="1395" t="str">
        <f>IFERROR(VLOOKUP('別紙様式2-2（４・５月分）'!AQ296,【参考】数式用!$AR$5:$AS$22,2,FALSE),"")</f>
        <v/>
      </c>
      <c r="P390" s="1396"/>
      <c r="Q390" s="1397"/>
      <c r="R390" s="1401" t="str">
        <f>IFERROR(VLOOKUP(K390,【参考】数式用!$A$5:$AB$37,MATCH(O390,【参考】数式用!$B$4:$AB$4,0)+1,0),"")</f>
        <v/>
      </c>
      <c r="S390" s="1403" t="s">
        <v>2021</v>
      </c>
      <c r="T390" s="1405"/>
      <c r="U390" s="1407" t="str">
        <f>IFERROR(VLOOKUP(K390,【参考】数式用!$A$5:$AB$37,MATCH(T390,【参考】数式用!$B$4:$AB$4,0)+1,0),"")</f>
        <v/>
      </c>
      <c r="V390" s="1409" t="s">
        <v>15</v>
      </c>
      <c r="W390" s="1347">
        <v>6</v>
      </c>
      <c r="X390" s="1349" t="s">
        <v>10</v>
      </c>
      <c r="Y390" s="1347">
        <v>6</v>
      </c>
      <c r="Z390" s="1349" t="s">
        <v>38</v>
      </c>
      <c r="AA390" s="1347">
        <v>7</v>
      </c>
      <c r="AB390" s="1349" t="s">
        <v>10</v>
      </c>
      <c r="AC390" s="1347">
        <v>3</v>
      </c>
      <c r="AD390" s="1349" t="s">
        <v>13</v>
      </c>
      <c r="AE390" s="1349" t="s">
        <v>20</v>
      </c>
      <c r="AF390" s="1349">
        <f>IF(W390&gt;=1,(AA390*12+AC390)-(W390*12+Y390)+1,"")</f>
        <v>10</v>
      </c>
      <c r="AG390" s="1351" t="s">
        <v>33</v>
      </c>
      <c r="AH390" s="1353" t="str">
        <f t="shared" ref="AH390" si="1030">IFERROR(ROUNDDOWN(ROUND(L390*U390,0),0)*AF390,"")</f>
        <v/>
      </c>
      <c r="AI390" s="1355" t="str">
        <f t="shared" ref="AI390" si="1031">IFERROR(ROUNDDOWN(ROUND((L390*(U390-AW390)),0),0)*AF390,"")</f>
        <v/>
      </c>
      <c r="AJ390" s="1357">
        <f>IFERROR(IF(OR(M390="",M391="",M393=""),0,ROUNDDOWN(ROUNDDOWN(ROUND(L390*VLOOKUP(K390,【参考】数式用!$A$5:$AB$37,MATCH("新加算Ⅳ",【参考】数式用!$B$4:$AB$4,0)+1,0),0),0)*AF390*0.5,0)),"")</f>
        <v>0</v>
      </c>
      <c r="AK390" s="1341"/>
      <c r="AL390" s="1345">
        <f>IFERROR(IF(OR(M393="ベア加算",M393=""),0, IF(OR(T390="新加算Ⅰ",T390="新加算Ⅱ",T390="新加算Ⅲ",T390="新加算Ⅳ"),ROUNDDOWN(ROUND(L390*VLOOKUP(K390,【参考】数式用!$A$5:$I$37,MATCH("ベア加算",【参考】数式用!$B$4:$I$4,0)+1,0),0),0)*AF390,0)),"")</f>
        <v>0</v>
      </c>
      <c r="AM390" s="1331"/>
      <c r="AN390" s="1337"/>
      <c r="AO390" s="1333"/>
      <c r="AP390" s="1333"/>
      <c r="AQ390" s="1335"/>
      <c r="AR390" s="1315"/>
      <c r="AS390" s="465" t="str">
        <f t="shared" ref="AS390" si="1032">IF(AU390="","",IF(U390&lt;N390,"！加算の要件上は問題ありませんが、令和６年４・５月と比較して令和６年６月に加算率が下がる計画になっています。",""))</f>
        <v/>
      </c>
      <c r="AT390" s="554"/>
      <c r="AU390" s="1303" t="str">
        <f>IF(K390&lt;&gt;"","V列に色付け","")</f>
        <v/>
      </c>
      <c r="AV390" s="555" t="str">
        <f>IF('別紙様式2-2（４・５月分）'!N296="","",'別紙様式2-2（４・５月分）'!N296)</f>
        <v/>
      </c>
      <c r="AW390" s="1305" t="str">
        <f>IF(SUM('別紙様式2-2（４・５月分）'!O296:O298)=0,"",SUM('別紙様式2-2（４・５月分）'!O296:O298))</f>
        <v/>
      </c>
      <c r="AX390" s="1306" t="str">
        <f>IFERROR(VLOOKUP(K390,【参考】数式用!$AH$2:$AI$34,2,FALSE),"")</f>
        <v/>
      </c>
      <c r="AY390" s="1222" t="s">
        <v>1959</v>
      </c>
      <c r="AZ390" s="1222" t="s">
        <v>1960</v>
      </c>
      <c r="BA390" s="1222" t="s">
        <v>1961</v>
      </c>
      <c r="BB390" s="1222" t="s">
        <v>1962</v>
      </c>
      <c r="BC390" s="1222" t="str">
        <f>IF(AND(O390&lt;&gt;"新加算Ⅰ",O390&lt;&gt;"新加算Ⅱ",O390&lt;&gt;"新加算Ⅲ",O390&lt;&gt;"新加算Ⅳ"),O390,IF(P392&lt;&gt;"",P392,""))</f>
        <v/>
      </c>
      <c r="BD390" s="1222"/>
      <c r="BE390" s="1222" t="str">
        <f t="shared" ref="BE390" si="1033">IF(AL390&lt;&gt;0,IF(AM390="○","入力済","未入力"),"")</f>
        <v/>
      </c>
      <c r="BF390" s="1222"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2" t="str">
        <f>IF(OR(T390="新加算Ⅴ（７）",T390="新加算Ⅴ（９）",T390="新加算Ⅴ（10）",T390="新加算Ⅴ（12）",T390="新加算Ⅴ（13）",T390="新加算Ⅴ（14）"),IF(OR(AO390="○",AO390="令和６年度中に満たす"),"入力済","未入力"),"")</f>
        <v/>
      </c>
      <c r="BH390" s="1323" t="str">
        <f t="shared" ref="BH390" si="1034">IF(OR(T390="新加算Ⅰ",T390="新加算Ⅱ",T390="新加算Ⅲ",T390="新加算Ⅴ（１）",T390="新加算Ⅴ（３）",T390="新加算Ⅴ（８）"),IF(OR(AP390="○",AP390="令和６年度中に満たす"),"入力済","未入力"),"")</f>
        <v/>
      </c>
      <c r="BI390" s="1325" t="str">
        <f t="shared" ref="BI390" si="1035">IF(OR(T390="新加算Ⅰ",T390="新加算Ⅱ",T390="新加算Ⅴ（１）",T390="新加算Ⅴ（２）",T390="新加算Ⅴ（３）",T390="新加算Ⅴ（４）",T390="新加算Ⅴ（５）",T390="新加算Ⅴ（６）",T390="新加算Ⅴ（７）",T390="新加算Ⅴ（９）",T390="新加算Ⅴ（10）",T390="新加算Ⅴ（12）"),1,"")</f>
        <v/>
      </c>
      <c r="BJ390" s="1303" t="str">
        <f>IF(OR(T390="新加算Ⅰ",T390="新加算Ⅴ（１）",T390="新加算Ⅴ（２）",T390="新加算Ⅴ（５）",T390="新加算Ⅴ（７）",T390="新加算Ⅴ（10）"),IF(AR390="","未入力","入力済"),"")</f>
        <v/>
      </c>
      <c r="BK390" s="452" t="str">
        <f>G390</f>
        <v/>
      </c>
    </row>
    <row r="391" spans="1:63" ht="15" customHeight="1">
      <c r="A391" s="1267"/>
      <c r="B391" s="1235"/>
      <c r="C391" s="1236"/>
      <c r="D391" s="1236"/>
      <c r="E391" s="1236"/>
      <c r="F391" s="1237"/>
      <c r="G391" s="1252"/>
      <c r="H391" s="1252"/>
      <c r="I391" s="1252"/>
      <c r="J391" s="1415"/>
      <c r="K391" s="1252"/>
      <c r="L391" s="1276"/>
      <c r="M391" s="1371" t="str">
        <f>IF('別紙様式2-2（４・５月分）'!P297="","",'別紙様式2-2（４・５月分）'!P297)</f>
        <v/>
      </c>
      <c r="N391" s="1392"/>
      <c r="O391" s="1398"/>
      <c r="P391" s="1399"/>
      <c r="Q391" s="1400"/>
      <c r="R391" s="1402"/>
      <c r="S391" s="1404"/>
      <c r="T391" s="1406"/>
      <c r="U391" s="1408"/>
      <c r="V391" s="1410"/>
      <c r="W391" s="1348"/>
      <c r="X391" s="1350"/>
      <c r="Y391" s="1348"/>
      <c r="Z391" s="1350"/>
      <c r="AA391" s="1348"/>
      <c r="AB391" s="1350"/>
      <c r="AC391" s="1348"/>
      <c r="AD391" s="1350"/>
      <c r="AE391" s="1350"/>
      <c r="AF391" s="1350"/>
      <c r="AG391" s="1352"/>
      <c r="AH391" s="1354"/>
      <c r="AI391" s="1356"/>
      <c r="AJ391" s="1358"/>
      <c r="AK391" s="1342"/>
      <c r="AL391" s="1346"/>
      <c r="AM391" s="1332"/>
      <c r="AN391" s="1338"/>
      <c r="AO391" s="1334"/>
      <c r="AP391" s="1334"/>
      <c r="AQ391" s="1336"/>
      <c r="AR391" s="1316"/>
      <c r="AS391" s="1302"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4"/>
      <c r="AU391" s="1303"/>
      <c r="AV391" s="1304" t="str">
        <f>IF('別紙様式2-2（４・５月分）'!N297="","",'別紙様式2-2（４・５月分）'!N297)</f>
        <v/>
      </c>
      <c r="AW391" s="1305"/>
      <c r="AX391" s="1306"/>
      <c r="AY391" s="1222"/>
      <c r="AZ391" s="1222"/>
      <c r="BA391" s="1222"/>
      <c r="BB391" s="1222"/>
      <c r="BC391" s="1222"/>
      <c r="BD391" s="1222"/>
      <c r="BE391" s="1222"/>
      <c r="BF391" s="1222"/>
      <c r="BG391" s="1222"/>
      <c r="BH391" s="1324"/>
      <c r="BI391" s="1326"/>
      <c r="BJ391" s="1303"/>
      <c r="BK391" s="452" t="str">
        <f>G390</f>
        <v/>
      </c>
    </row>
    <row r="392" spans="1:63" ht="15" customHeight="1">
      <c r="A392" s="1295"/>
      <c r="B392" s="1235"/>
      <c r="C392" s="1236"/>
      <c r="D392" s="1236"/>
      <c r="E392" s="1236"/>
      <c r="F392" s="1237"/>
      <c r="G392" s="1252"/>
      <c r="H392" s="1252"/>
      <c r="I392" s="1252"/>
      <c r="J392" s="1415"/>
      <c r="K392" s="1252"/>
      <c r="L392" s="1276"/>
      <c r="M392" s="1372"/>
      <c r="N392" s="1393"/>
      <c r="O392" s="1373" t="s">
        <v>2025</v>
      </c>
      <c r="P392" s="1375" t="str">
        <f>IFERROR(VLOOKUP('別紙様式2-2（４・５月分）'!AQ296,【参考】数式用!$AR$5:$AT$22,3,FALSE),"")</f>
        <v/>
      </c>
      <c r="Q392" s="1377" t="s">
        <v>2036</v>
      </c>
      <c r="R392" s="1379" t="str">
        <f>IFERROR(VLOOKUP(K390,【参考】数式用!$A$5:$AB$37,MATCH(P392,【参考】数式用!$B$4:$AB$4,0)+1,0),"")</f>
        <v/>
      </c>
      <c r="S392" s="1381" t="s">
        <v>161</v>
      </c>
      <c r="T392" s="1383"/>
      <c r="U392" s="1385" t="str">
        <f>IFERROR(VLOOKUP(K390,【参考】数式用!$A$5:$AB$37,MATCH(T392,【参考】数式用!$B$4:$AB$4,0)+1,0),"")</f>
        <v/>
      </c>
      <c r="V392" s="1387" t="s">
        <v>15</v>
      </c>
      <c r="W392" s="1389">
        <v>7</v>
      </c>
      <c r="X392" s="1363" t="s">
        <v>10</v>
      </c>
      <c r="Y392" s="1389">
        <v>4</v>
      </c>
      <c r="Z392" s="1363" t="s">
        <v>38</v>
      </c>
      <c r="AA392" s="1389">
        <v>8</v>
      </c>
      <c r="AB392" s="1363" t="s">
        <v>10</v>
      </c>
      <c r="AC392" s="1389">
        <v>3</v>
      </c>
      <c r="AD392" s="1363" t="s">
        <v>13</v>
      </c>
      <c r="AE392" s="1363" t="s">
        <v>20</v>
      </c>
      <c r="AF392" s="1363">
        <f>IF(W392&gt;=1,(AA392*12+AC392)-(W392*12+Y392)+1,"")</f>
        <v>12</v>
      </c>
      <c r="AG392" s="1359" t="s">
        <v>33</v>
      </c>
      <c r="AH392" s="1365" t="str">
        <f t="shared" ref="AH392" si="1037">IFERROR(ROUNDDOWN(ROUND(L390*U392,0),0)*AF392,"")</f>
        <v/>
      </c>
      <c r="AI392" s="1367" t="str">
        <f t="shared" ref="AI392" si="1038">IFERROR(ROUNDDOWN(ROUND((L390*(U392-AW390)),0),0)*AF392,"")</f>
        <v/>
      </c>
      <c r="AJ392" s="1369">
        <f>IFERROR(IF(OR(M390="",M391="",M393=""),0,ROUNDDOWN(ROUNDDOWN(ROUND(L390*VLOOKUP(K390,【参考】数式用!$A$5:$AB$37,MATCH("新加算Ⅳ",【参考】数式用!$B$4:$AB$4,0)+1,0),0),0)*AF392*0.5,0)),"")</f>
        <v>0</v>
      </c>
      <c r="AK392" s="1339" t="str">
        <f t="shared" ref="AK392" si="1039">IF(T392&lt;&gt;"","新規に適用","")</f>
        <v/>
      </c>
      <c r="AL392" s="1343">
        <f>IFERROR(IF(OR(M393="ベア加算",M393=""),0, IF(OR(T390="新加算Ⅰ",T390="新加算Ⅱ",T390="新加算Ⅲ",T390="新加算Ⅳ"),0,ROUNDDOWN(ROUND(L390*VLOOKUP(K390,【参考】数式用!$A$5:$I$37,MATCH("ベア加算",【参考】数式用!$B$4:$I$4,0)+1,0),0),0)*AF392)),"")</f>
        <v>0</v>
      </c>
      <c r="AM392" s="1313" t="str">
        <f>IF(AND(T392&lt;&gt;"",AM390=""),"新規に適用",IF(AND(T392&lt;&gt;"",AM390&lt;&gt;""),"継続で適用",""))</f>
        <v/>
      </c>
      <c r="AN392" s="1313" t="str">
        <f>IF(AND(T392&lt;&gt;"",AN390=""),"新規に適用",IF(AND(T392&lt;&gt;"",AN390&lt;&gt;""),"継続で適用",""))</f>
        <v/>
      </c>
      <c r="AO392" s="1361"/>
      <c r="AP392" s="1313" t="str">
        <f>IF(AND(T392&lt;&gt;"",AP390=""),"新規に適用",IF(AND(T392&lt;&gt;"",AP390&lt;&gt;""),"継続で適用",""))</f>
        <v/>
      </c>
      <c r="AQ392" s="1317" t="str">
        <f t="shared" si="951"/>
        <v/>
      </c>
      <c r="AR392" s="1313" t="str">
        <f>IF(AND(T392&lt;&gt;"",AR390=""),"新規に適用",IF(AND(T392&lt;&gt;"",AR390&lt;&gt;""),"継続で適用",""))</f>
        <v/>
      </c>
      <c r="AS392" s="1302"/>
      <c r="AT392" s="554"/>
      <c r="AU392" s="1303" t="str">
        <f>IF(K390&lt;&gt;"","V列に色付け","")</f>
        <v/>
      </c>
      <c r="AV392" s="1304"/>
      <c r="AW392" s="1305"/>
      <c r="AX392"/>
      <c r="AY392"/>
      <c r="AZ392"/>
      <c r="BA392"/>
      <c r="BB392"/>
      <c r="BC392"/>
      <c r="BD392"/>
      <c r="BE392"/>
      <c r="BF392"/>
      <c r="BG392"/>
      <c r="BH392"/>
      <c r="BI392"/>
      <c r="BJ392"/>
      <c r="BK392" s="452" t="str">
        <f>G390</f>
        <v/>
      </c>
    </row>
    <row r="393" spans="1:63" ht="30" customHeight="1" thickBot="1">
      <c r="A393" s="1268"/>
      <c r="B393" s="1411"/>
      <c r="C393" s="1412"/>
      <c r="D393" s="1412"/>
      <c r="E393" s="1412"/>
      <c r="F393" s="1413"/>
      <c r="G393" s="1253"/>
      <c r="H393" s="1253"/>
      <c r="I393" s="1253"/>
      <c r="J393" s="1416"/>
      <c r="K393" s="1253"/>
      <c r="L393" s="1277"/>
      <c r="M393" s="553" t="str">
        <f>IF('別紙様式2-2（４・５月分）'!P298="","",'別紙様式2-2（４・５月分）'!P298)</f>
        <v/>
      </c>
      <c r="N393" s="1394"/>
      <c r="O393" s="1374"/>
      <c r="P393" s="1376"/>
      <c r="Q393" s="1378"/>
      <c r="R393" s="1380"/>
      <c r="S393" s="1382"/>
      <c r="T393" s="1384"/>
      <c r="U393" s="1386"/>
      <c r="V393" s="1388"/>
      <c r="W393" s="1390"/>
      <c r="X393" s="1364"/>
      <c r="Y393" s="1390"/>
      <c r="Z393" s="1364"/>
      <c r="AA393" s="1390"/>
      <c r="AB393" s="1364"/>
      <c r="AC393" s="1390"/>
      <c r="AD393" s="1364"/>
      <c r="AE393" s="1364"/>
      <c r="AF393" s="1364"/>
      <c r="AG393" s="1360"/>
      <c r="AH393" s="1366"/>
      <c r="AI393" s="1368"/>
      <c r="AJ393" s="1370"/>
      <c r="AK393" s="1340"/>
      <c r="AL393" s="1344"/>
      <c r="AM393" s="1314"/>
      <c r="AN393" s="1314"/>
      <c r="AO393" s="1362"/>
      <c r="AP393" s="1314"/>
      <c r="AQ393" s="1318"/>
      <c r="AR393" s="1314"/>
      <c r="AS393" s="490"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4"/>
      <c r="AU393" s="1303"/>
      <c r="AV393" s="555" t="str">
        <f>IF('別紙様式2-2（４・５月分）'!N298="","",'別紙様式2-2（４・５月分）'!N298)</f>
        <v/>
      </c>
      <c r="AW393" s="1305"/>
      <c r="AX393"/>
      <c r="AY393"/>
      <c r="AZ393"/>
      <c r="BA393"/>
      <c r="BB393"/>
      <c r="BC393"/>
      <c r="BD393"/>
      <c r="BE393"/>
      <c r="BF393"/>
      <c r="BG393"/>
      <c r="BH393"/>
      <c r="BI393"/>
      <c r="BJ393"/>
      <c r="BK393" s="452" t="str">
        <f>G390</f>
        <v/>
      </c>
    </row>
    <row r="394" spans="1:63" ht="30" customHeight="1">
      <c r="A394" s="1293">
        <v>96</v>
      </c>
      <c r="B394" s="1232" t="str">
        <f>IF(基本情報入力シート!C149="","",基本情報入力シート!C149)</f>
        <v/>
      </c>
      <c r="C394" s="1233"/>
      <c r="D394" s="1233"/>
      <c r="E394" s="1233"/>
      <c r="F394" s="1234"/>
      <c r="G394" s="1251" t="str">
        <f>IF(基本情報入力シート!M149="","",基本情報入力シート!M149)</f>
        <v/>
      </c>
      <c r="H394" s="1251" t="str">
        <f>IF(基本情報入力シート!R149="","",基本情報入力シート!R149)</f>
        <v/>
      </c>
      <c r="I394" s="1251" t="str">
        <f>IF(基本情報入力シート!W149="","",基本情報入力シート!W149)</f>
        <v/>
      </c>
      <c r="J394" s="1414" t="str">
        <f>IF(基本情報入力シート!X149="","",基本情報入力シート!X149)</f>
        <v/>
      </c>
      <c r="K394" s="1251" t="str">
        <f>IF(基本情報入力シート!Y149="","",基本情報入力シート!Y149)</f>
        <v/>
      </c>
      <c r="L394" s="1275" t="str">
        <f>IF(基本情報入力シート!AB149="","",基本情報入力シート!AB149)</f>
        <v/>
      </c>
      <c r="M394" s="550" t="str">
        <f>IF('別紙様式2-2（４・５月分）'!P299="","",'別紙様式2-2（４・５月分）'!P299)</f>
        <v/>
      </c>
      <c r="N394" s="1391" t="str">
        <f>IF(SUM('別紙様式2-2（４・５月分）'!Q299:Q301)=0,"",SUM('別紙様式2-2（４・５月分）'!Q299:Q301))</f>
        <v/>
      </c>
      <c r="O394" s="1395" t="str">
        <f>IFERROR(VLOOKUP('別紙様式2-2（４・５月分）'!AQ299,【参考】数式用!$AR$5:$AS$22,2,FALSE),"")</f>
        <v/>
      </c>
      <c r="P394" s="1396"/>
      <c r="Q394" s="1397"/>
      <c r="R394" s="1401" t="str">
        <f>IFERROR(VLOOKUP(K394,【参考】数式用!$A$5:$AB$37,MATCH(O394,【参考】数式用!$B$4:$AB$4,0)+1,0),"")</f>
        <v/>
      </c>
      <c r="S394" s="1403" t="s">
        <v>2021</v>
      </c>
      <c r="T394" s="1405"/>
      <c r="U394" s="1407" t="str">
        <f>IFERROR(VLOOKUP(K394,【参考】数式用!$A$5:$AB$37,MATCH(T394,【参考】数式用!$B$4:$AB$4,0)+1,0),"")</f>
        <v/>
      </c>
      <c r="V394" s="1409" t="s">
        <v>15</v>
      </c>
      <c r="W394" s="1347">
        <v>6</v>
      </c>
      <c r="X394" s="1349" t="s">
        <v>10</v>
      </c>
      <c r="Y394" s="1347">
        <v>6</v>
      </c>
      <c r="Z394" s="1349" t="s">
        <v>38</v>
      </c>
      <c r="AA394" s="1347">
        <v>7</v>
      </c>
      <c r="AB394" s="1349" t="s">
        <v>10</v>
      </c>
      <c r="AC394" s="1347">
        <v>3</v>
      </c>
      <c r="AD394" s="1349" t="s">
        <v>13</v>
      </c>
      <c r="AE394" s="1349" t="s">
        <v>20</v>
      </c>
      <c r="AF394" s="1349">
        <f>IF(W394&gt;=1,(AA394*12+AC394)-(W394*12+Y394)+1,"")</f>
        <v>10</v>
      </c>
      <c r="AG394" s="1351" t="s">
        <v>33</v>
      </c>
      <c r="AH394" s="1353" t="str">
        <f t="shared" ref="AH394" si="1041">IFERROR(ROUNDDOWN(ROUND(L394*U394,0),0)*AF394,"")</f>
        <v/>
      </c>
      <c r="AI394" s="1355" t="str">
        <f t="shared" ref="AI394" si="1042">IFERROR(ROUNDDOWN(ROUND((L394*(U394-AW394)),0),0)*AF394,"")</f>
        <v/>
      </c>
      <c r="AJ394" s="1357">
        <f>IFERROR(IF(OR(M394="",M395="",M397=""),0,ROUNDDOWN(ROUNDDOWN(ROUND(L394*VLOOKUP(K394,【参考】数式用!$A$5:$AB$37,MATCH("新加算Ⅳ",【参考】数式用!$B$4:$AB$4,0)+1,0),0),0)*AF394*0.5,0)),"")</f>
        <v>0</v>
      </c>
      <c r="AK394" s="1341"/>
      <c r="AL394" s="1345">
        <f>IFERROR(IF(OR(M397="ベア加算",M397=""),0, IF(OR(T394="新加算Ⅰ",T394="新加算Ⅱ",T394="新加算Ⅲ",T394="新加算Ⅳ"),ROUNDDOWN(ROUND(L394*VLOOKUP(K394,【参考】数式用!$A$5:$I$37,MATCH("ベア加算",【参考】数式用!$B$4:$I$4,0)+1,0),0),0)*AF394,0)),"")</f>
        <v>0</v>
      </c>
      <c r="AM394" s="1331"/>
      <c r="AN394" s="1337"/>
      <c r="AO394" s="1333"/>
      <c r="AP394" s="1333"/>
      <c r="AQ394" s="1335"/>
      <c r="AR394" s="1315"/>
      <c r="AS394" s="465" t="str">
        <f t="shared" ref="AS394" si="1043">IF(AU394="","",IF(U394&lt;N394,"！加算の要件上は問題ありませんが、令和６年４・５月と比較して令和６年６月に加算率が下がる計画になっています。",""))</f>
        <v/>
      </c>
      <c r="AT394" s="554"/>
      <c r="AU394" s="1303" t="str">
        <f>IF(K394&lt;&gt;"","V列に色付け","")</f>
        <v/>
      </c>
      <c r="AV394" s="555" t="str">
        <f>IF('別紙様式2-2（４・５月分）'!N299="","",'別紙様式2-2（４・５月分）'!N299)</f>
        <v/>
      </c>
      <c r="AW394" s="1305" t="str">
        <f>IF(SUM('別紙様式2-2（４・５月分）'!O299:O301)=0,"",SUM('別紙様式2-2（４・５月分）'!O299:O301))</f>
        <v/>
      </c>
      <c r="AX394" s="1306" t="str">
        <f>IFERROR(VLOOKUP(K394,【参考】数式用!$AH$2:$AI$34,2,FALSE),"")</f>
        <v/>
      </c>
      <c r="AY394" s="1222" t="s">
        <v>1959</v>
      </c>
      <c r="AZ394" s="1222" t="s">
        <v>1960</v>
      </c>
      <c r="BA394" s="1222" t="s">
        <v>1961</v>
      </c>
      <c r="BB394" s="1222" t="s">
        <v>1962</v>
      </c>
      <c r="BC394" s="1222" t="str">
        <f>IF(AND(O394&lt;&gt;"新加算Ⅰ",O394&lt;&gt;"新加算Ⅱ",O394&lt;&gt;"新加算Ⅲ",O394&lt;&gt;"新加算Ⅳ"),O394,IF(P396&lt;&gt;"",P396,""))</f>
        <v/>
      </c>
      <c r="BD394" s="1222"/>
      <c r="BE394" s="1222" t="str">
        <f t="shared" ref="BE394" si="1044">IF(AL394&lt;&gt;0,IF(AM394="○","入力済","未入力"),"")</f>
        <v/>
      </c>
      <c r="BF394" s="1222"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2" t="str">
        <f>IF(OR(T394="新加算Ⅴ（７）",T394="新加算Ⅴ（９）",T394="新加算Ⅴ（10）",T394="新加算Ⅴ（12）",T394="新加算Ⅴ（13）",T394="新加算Ⅴ（14）"),IF(OR(AO394="○",AO394="令和６年度中に満たす"),"入力済","未入力"),"")</f>
        <v/>
      </c>
      <c r="BH394" s="1323" t="str">
        <f t="shared" ref="BH394" si="1045">IF(OR(T394="新加算Ⅰ",T394="新加算Ⅱ",T394="新加算Ⅲ",T394="新加算Ⅴ（１）",T394="新加算Ⅴ（３）",T394="新加算Ⅴ（８）"),IF(OR(AP394="○",AP394="令和６年度中に満たす"),"入力済","未入力"),"")</f>
        <v/>
      </c>
      <c r="BI394" s="1325" t="str">
        <f t="shared" ref="BI394" si="1046">IF(OR(T394="新加算Ⅰ",T394="新加算Ⅱ",T394="新加算Ⅴ（１）",T394="新加算Ⅴ（２）",T394="新加算Ⅴ（３）",T394="新加算Ⅴ（４）",T394="新加算Ⅴ（５）",T394="新加算Ⅴ（６）",T394="新加算Ⅴ（７）",T394="新加算Ⅴ（９）",T394="新加算Ⅴ（10）",T394="新加算Ⅴ（12）"),1,"")</f>
        <v/>
      </c>
      <c r="BJ394" s="1303" t="str">
        <f>IF(OR(T394="新加算Ⅰ",T394="新加算Ⅴ（１）",T394="新加算Ⅴ（２）",T394="新加算Ⅴ（５）",T394="新加算Ⅴ（７）",T394="新加算Ⅴ（10）"),IF(AR394="","未入力","入力済"),"")</f>
        <v/>
      </c>
      <c r="BK394" s="452" t="str">
        <f>G394</f>
        <v/>
      </c>
    </row>
    <row r="395" spans="1:63" ht="15" customHeight="1">
      <c r="A395" s="1267"/>
      <c r="B395" s="1235"/>
      <c r="C395" s="1236"/>
      <c r="D395" s="1236"/>
      <c r="E395" s="1236"/>
      <c r="F395" s="1237"/>
      <c r="G395" s="1252"/>
      <c r="H395" s="1252"/>
      <c r="I395" s="1252"/>
      <c r="J395" s="1415"/>
      <c r="K395" s="1252"/>
      <c r="L395" s="1276"/>
      <c r="M395" s="1371" t="str">
        <f>IF('別紙様式2-2（４・５月分）'!P300="","",'別紙様式2-2（４・５月分）'!P300)</f>
        <v/>
      </c>
      <c r="N395" s="1392"/>
      <c r="O395" s="1398"/>
      <c r="P395" s="1399"/>
      <c r="Q395" s="1400"/>
      <c r="R395" s="1402"/>
      <c r="S395" s="1404"/>
      <c r="T395" s="1406"/>
      <c r="U395" s="1408"/>
      <c r="V395" s="1410"/>
      <c r="W395" s="1348"/>
      <c r="X395" s="1350"/>
      <c r="Y395" s="1348"/>
      <c r="Z395" s="1350"/>
      <c r="AA395" s="1348"/>
      <c r="AB395" s="1350"/>
      <c r="AC395" s="1348"/>
      <c r="AD395" s="1350"/>
      <c r="AE395" s="1350"/>
      <c r="AF395" s="1350"/>
      <c r="AG395" s="1352"/>
      <c r="AH395" s="1354"/>
      <c r="AI395" s="1356"/>
      <c r="AJ395" s="1358"/>
      <c r="AK395" s="1342"/>
      <c r="AL395" s="1346"/>
      <c r="AM395" s="1332"/>
      <c r="AN395" s="1338"/>
      <c r="AO395" s="1334"/>
      <c r="AP395" s="1334"/>
      <c r="AQ395" s="1336"/>
      <c r="AR395" s="1316"/>
      <c r="AS395" s="1302"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4"/>
      <c r="AU395" s="1303"/>
      <c r="AV395" s="1304" t="str">
        <f>IF('別紙様式2-2（４・５月分）'!N300="","",'別紙様式2-2（４・５月分）'!N300)</f>
        <v/>
      </c>
      <c r="AW395" s="1305"/>
      <c r="AX395" s="1306"/>
      <c r="AY395" s="1222"/>
      <c r="AZ395" s="1222"/>
      <c r="BA395" s="1222"/>
      <c r="BB395" s="1222"/>
      <c r="BC395" s="1222"/>
      <c r="BD395" s="1222"/>
      <c r="BE395" s="1222"/>
      <c r="BF395" s="1222"/>
      <c r="BG395" s="1222"/>
      <c r="BH395" s="1324"/>
      <c r="BI395" s="1326"/>
      <c r="BJ395" s="1303"/>
      <c r="BK395" s="452" t="str">
        <f>G394</f>
        <v/>
      </c>
    </row>
    <row r="396" spans="1:63" ht="15" customHeight="1">
      <c r="A396" s="1295"/>
      <c r="B396" s="1235"/>
      <c r="C396" s="1236"/>
      <c r="D396" s="1236"/>
      <c r="E396" s="1236"/>
      <c r="F396" s="1237"/>
      <c r="G396" s="1252"/>
      <c r="H396" s="1252"/>
      <c r="I396" s="1252"/>
      <c r="J396" s="1415"/>
      <c r="K396" s="1252"/>
      <c r="L396" s="1276"/>
      <c r="M396" s="1372"/>
      <c r="N396" s="1393"/>
      <c r="O396" s="1373" t="s">
        <v>2025</v>
      </c>
      <c r="P396" s="1375" t="str">
        <f>IFERROR(VLOOKUP('別紙様式2-2（４・５月分）'!AQ299,【参考】数式用!$AR$5:$AT$22,3,FALSE),"")</f>
        <v/>
      </c>
      <c r="Q396" s="1377" t="s">
        <v>2036</v>
      </c>
      <c r="R396" s="1379" t="str">
        <f>IFERROR(VLOOKUP(K394,【参考】数式用!$A$5:$AB$37,MATCH(P396,【参考】数式用!$B$4:$AB$4,0)+1,0),"")</f>
        <v/>
      </c>
      <c r="S396" s="1381" t="s">
        <v>161</v>
      </c>
      <c r="T396" s="1383"/>
      <c r="U396" s="1385" t="str">
        <f>IFERROR(VLOOKUP(K394,【参考】数式用!$A$5:$AB$37,MATCH(T396,【参考】数式用!$B$4:$AB$4,0)+1,0),"")</f>
        <v/>
      </c>
      <c r="V396" s="1387" t="s">
        <v>15</v>
      </c>
      <c r="W396" s="1389">
        <v>7</v>
      </c>
      <c r="X396" s="1363" t="s">
        <v>10</v>
      </c>
      <c r="Y396" s="1389">
        <v>4</v>
      </c>
      <c r="Z396" s="1363" t="s">
        <v>38</v>
      </c>
      <c r="AA396" s="1389">
        <v>8</v>
      </c>
      <c r="AB396" s="1363" t="s">
        <v>10</v>
      </c>
      <c r="AC396" s="1389">
        <v>3</v>
      </c>
      <c r="AD396" s="1363" t="s">
        <v>13</v>
      </c>
      <c r="AE396" s="1363" t="s">
        <v>20</v>
      </c>
      <c r="AF396" s="1363">
        <f>IF(W396&gt;=1,(AA396*12+AC396)-(W396*12+Y396)+1,"")</f>
        <v>12</v>
      </c>
      <c r="AG396" s="1359" t="s">
        <v>33</v>
      </c>
      <c r="AH396" s="1365" t="str">
        <f t="shared" ref="AH396" si="1048">IFERROR(ROUNDDOWN(ROUND(L394*U396,0),0)*AF396,"")</f>
        <v/>
      </c>
      <c r="AI396" s="1367" t="str">
        <f t="shared" ref="AI396" si="1049">IFERROR(ROUNDDOWN(ROUND((L394*(U396-AW394)),0),0)*AF396,"")</f>
        <v/>
      </c>
      <c r="AJ396" s="1369">
        <f>IFERROR(IF(OR(M394="",M395="",M397=""),0,ROUNDDOWN(ROUNDDOWN(ROUND(L394*VLOOKUP(K394,【参考】数式用!$A$5:$AB$37,MATCH("新加算Ⅳ",【参考】数式用!$B$4:$AB$4,0)+1,0),0),0)*AF396*0.5,0)),"")</f>
        <v>0</v>
      </c>
      <c r="AK396" s="1339" t="str">
        <f t="shared" ref="AK396" si="1050">IF(T396&lt;&gt;"","新規に適用","")</f>
        <v/>
      </c>
      <c r="AL396" s="1343">
        <f>IFERROR(IF(OR(M397="ベア加算",M397=""),0, IF(OR(T394="新加算Ⅰ",T394="新加算Ⅱ",T394="新加算Ⅲ",T394="新加算Ⅳ"),0,ROUNDDOWN(ROUND(L394*VLOOKUP(K394,【参考】数式用!$A$5:$I$37,MATCH("ベア加算",【参考】数式用!$B$4:$I$4,0)+1,0),0),0)*AF396)),"")</f>
        <v>0</v>
      </c>
      <c r="AM396" s="1313" t="str">
        <f>IF(AND(T396&lt;&gt;"",AM394=""),"新規に適用",IF(AND(T396&lt;&gt;"",AM394&lt;&gt;""),"継続で適用",""))</f>
        <v/>
      </c>
      <c r="AN396" s="1313" t="str">
        <f>IF(AND(T396&lt;&gt;"",AN394=""),"新規に適用",IF(AND(T396&lt;&gt;"",AN394&lt;&gt;""),"継続で適用",""))</f>
        <v/>
      </c>
      <c r="AO396" s="1361"/>
      <c r="AP396" s="1313" t="str">
        <f>IF(AND(T396&lt;&gt;"",AP394=""),"新規に適用",IF(AND(T396&lt;&gt;"",AP394&lt;&gt;""),"継続で適用",""))</f>
        <v/>
      </c>
      <c r="AQ396" s="1317" t="str">
        <f t="shared" si="951"/>
        <v/>
      </c>
      <c r="AR396" s="1313" t="str">
        <f>IF(AND(T396&lt;&gt;"",AR394=""),"新規に適用",IF(AND(T396&lt;&gt;"",AR394&lt;&gt;""),"継続で適用",""))</f>
        <v/>
      </c>
      <c r="AS396" s="1302"/>
      <c r="AT396" s="554"/>
      <c r="AU396" s="1303" t="str">
        <f>IF(K394&lt;&gt;"","V列に色付け","")</f>
        <v/>
      </c>
      <c r="AV396" s="1304"/>
      <c r="AW396" s="1305"/>
      <c r="AX396"/>
      <c r="AY396"/>
      <c r="AZ396"/>
      <c r="BA396"/>
      <c r="BB396"/>
      <c r="BC396"/>
      <c r="BD396"/>
      <c r="BE396"/>
      <c r="BF396"/>
      <c r="BG396"/>
      <c r="BH396"/>
      <c r="BI396"/>
      <c r="BJ396"/>
      <c r="BK396" s="452" t="str">
        <f>G394</f>
        <v/>
      </c>
    </row>
    <row r="397" spans="1:63" ht="30" customHeight="1" thickBot="1">
      <c r="A397" s="1268"/>
      <c r="B397" s="1411"/>
      <c r="C397" s="1412"/>
      <c r="D397" s="1412"/>
      <c r="E397" s="1412"/>
      <c r="F397" s="1413"/>
      <c r="G397" s="1253"/>
      <c r="H397" s="1253"/>
      <c r="I397" s="1253"/>
      <c r="J397" s="1416"/>
      <c r="K397" s="1253"/>
      <c r="L397" s="1277"/>
      <c r="M397" s="553" t="str">
        <f>IF('別紙様式2-2（４・５月分）'!P301="","",'別紙様式2-2（４・５月分）'!P301)</f>
        <v/>
      </c>
      <c r="N397" s="1394"/>
      <c r="O397" s="1374"/>
      <c r="P397" s="1376"/>
      <c r="Q397" s="1378"/>
      <c r="R397" s="1380"/>
      <c r="S397" s="1382"/>
      <c r="T397" s="1384"/>
      <c r="U397" s="1386"/>
      <c r="V397" s="1388"/>
      <c r="W397" s="1390"/>
      <c r="X397" s="1364"/>
      <c r="Y397" s="1390"/>
      <c r="Z397" s="1364"/>
      <c r="AA397" s="1390"/>
      <c r="AB397" s="1364"/>
      <c r="AC397" s="1390"/>
      <c r="AD397" s="1364"/>
      <c r="AE397" s="1364"/>
      <c r="AF397" s="1364"/>
      <c r="AG397" s="1360"/>
      <c r="AH397" s="1366"/>
      <c r="AI397" s="1368"/>
      <c r="AJ397" s="1370"/>
      <c r="AK397" s="1340"/>
      <c r="AL397" s="1344"/>
      <c r="AM397" s="1314"/>
      <c r="AN397" s="1314"/>
      <c r="AO397" s="1362"/>
      <c r="AP397" s="1314"/>
      <c r="AQ397" s="1318"/>
      <c r="AR397" s="1314"/>
      <c r="AS397" s="490"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4"/>
      <c r="AU397" s="1303"/>
      <c r="AV397" s="555" t="str">
        <f>IF('別紙様式2-2（４・５月分）'!N301="","",'別紙様式2-2（４・５月分）'!N301)</f>
        <v/>
      </c>
      <c r="AW397" s="1305"/>
      <c r="AX397"/>
      <c r="AY397"/>
      <c r="AZ397"/>
      <c r="BA397"/>
      <c r="BB397"/>
      <c r="BC397"/>
      <c r="BD397"/>
      <c r="BE397"/>
      <c r="BF397"/>
      <c r="BG397"/>
      <c r="BH397"/>
      <c r="BI397"/>
      <c r="BJ397"/>
      <c r="BK397" s="452" t="str">
        <f>G394</f>
        <v/>
      </c>
    </row>
    <row r="398" spans="1:63" ht="30" customHeight="1">
      <c r="A398" s="1266">
        <v>97</v>
      </c>
      <c r="B398" s="1235" t="str">
        <f>IF(基本情報入力シート!C150="","",基本情報入力シート!C150)</f>
        <v/>
      </c>
      <c r="C398" s="1236"/>
      <c r="D398" s="1236"/>
      <c r="E398" s="1236"/>
      <c r="F398" s="1237"/>
      <c r="G398" s="1252" t="str">
        <f>IF(基本情報入力シート!M150="","",基本情報入力シート!M150)</f>
        <v/>
      </c>
      <c r="H398" s="1252" t="str">
        <f>IF(基本情報入力シート!R150="","",基本情報入力シート!R150)</f>
        <v/>
      </c>
      <c r="I398" s="1252" t="str">
        <f>IF(基本情報入力シート!W150="","",基本情報入力シート!W150)</f>
        <v/>
      </c>
      <c r="J398" s="1415" t="str">
        <f>IF(基本情報入力シート!X150="","",基本情報入力シート!X150)</f>
        <v/>
      </c>
      <c r="K398" s="1252" t="str">
        <f>IF(基本情報入力シート!Y150="","",基本情報入力シート!Y150)</f>
        <v/>
      </c>
      <c r="L398" s="1276" t="str">
        <f>IF(基本情報入力シート!AB150="","",基本情報入力シート!AB150)</f>
        <v/>
      </c>
      <c r="M398" s="550" t="str">
        <f>IF('別紙様式2-2（４・５月分）'!P302="","",'別紙様式2-2（４・５月分）'!P302)</f>
        <v/>
      </c>
      <c r="N398" s="1391" t="str">
        <f>IF(SUM('別紙様式2-2（４・５月分）'!Q302:Q304)=0,"",SUM('別紙様式2-2（４・５月分）'!Q302:Q304))</f>
        <v/>
      </c>
      <c r="O398" s="1395" t="str">
        <f>IFERROR(VLOOKUP('別紙様式2-2（４・５月分）'!AQ302,【参考】数式用!$AR$5:$AS$22,2,FALSE),"")</f>
        <v/>
      </c>
      <c r="P398" s="1396"/>
      <c r="Q398" s="1397"/>
      <c r="R398" s="1401" t="str">
        <f>IFERROR(VLOOKUP(K398,【参考】数式用!$A$5:$AB$37,MATCH(O398,【参考】数式用!$B$4:$AB$4,0)+1,0),"")</f>
        <v/>
      </c>
      <c r="S398" s="1403" t="s">
        <v>2021</v>
      </c>
      <c r="T398" s="1405"/>
      <c r="U398" s="1407" t="str">
        <f>IFERROR(VLOOKUP(K398,【参考】数式用!$A$5:$AB$37,MATCH(T398,【参考】数式用!$B$4:$AB$4,0)+1,0),"")</f>
        <v/>
      </c>
      <c r="V398" s="1409" t="s">
        <v>15</v>
      </c>
      <c r="W398" s="1347">
        <v>6</v>
      </c>
      <c r="X398" s="1349" t="s">
        <v>10</v>
      </c>
      <c r="Y398" s="1347">
        <v>6</v>
      </c>
      <c r="Z398" s="1349" t="s">
        <v>38</v>
      </c>
      <c r="AA398" s="1347">
        <v>7</v>
      </c>
      <c r="AB398" s="1349" t="s">
        <v>10</v>
      </c>
      <c r="AC398" s="1347">
        <v>3</v>
      </c>
      <c r="AD398" s="1349" t="s">
        <v>13</v>
      </c>
      <c r="AE398" s="1349" t="s">
        <v>20</v>
      </c>
      <c r="AF398" s="1349">
        <f>IF(W398&gt;=1,(AA398*12+AC398)-(W398*12+Y398)+1,"")</f>
        <v>10</v>
      </c>
      <c r="AG398" s="1351" t="s">
        <v>33</v>
      </c>
      <c r="AH398" s="1353" t="str">
        <f t="shared" ref="AH398" si="1052">IFERROR(ROUNDDOWN(ROUND(L398*U398,0),0)*AF398,"")</f>
        <v/>
      </c>
      <c r="AI398" s="1355" t="str">
        <f t="shared" ref="AI398" si="1053">IFERROR(ROUNDDOWN(ROUND((L398*(U398-AW398)),0),0)*AF398,"")</f>
        <v/>
      </c>
      <c r="AJ398" s="1357">
        <f>IFERROR(IF(OR(M398="",M399="",M401=""),0,ROUNDDOWN(ROUNDDOWN(ROUND(L398*VLOOKUP(K398,【参考】数式用!$A$5:$AB$37,MATCH("新加算Ⅳ",【参考】数式用!$B$4:$AB$4,0)+1,0),0),0)*AF398*0.5,0)),"")</f>
        <v>0</v>
      </c>
      <c r="AK398" s="1341"/>
      <c r="AL398" s="1345">
        <f>IFERROR(IF(OR(M401="ベア加算",M401=""),0, IF(OR(T398="新加算Ⅰ",T398="新加算Ⅱ",T398="新加算Ⅲ",T398="新加算Ⅳ"),ROUNDDOWN(ROUND(L398*VLOOKUP(K398,【参考】数式用!$A$5:$I$37,MATCH("ベア加算",【参考】数式用!$B$4:$I$4,0)+1,0),0),0)*AF398,0)),"")</f>
        <v>0</v>
      </c>
      <c r="AM398" s="1331"/>
      <c r="AN398" s="1337"/>
      <c r="AO398" s="1333"/>
      <c r="AP398" s="1333"/>
      <c r="AQ398" s="1335"/>
      <c r="AR398" s="1315"/>
      <c r="AS398" s="465" t="str">
        <f t="shared" ref="AS398" si="1054">IF(AU398="","",IF(U398&lt;N398,"！加算の要件上は問題ありませんが、令和６年４・５月と比較して令和６年６月に加算率が下がる計画になっています。",""))</f>
        <v/>
      </c>
      <c r="AT398" s="554"/>
      <c r="AU398" s="1303" t="str">
        <f>IF(K398&lt;&gt;"","V列に色付け","")</f>
        <v/>
      </c>
      <c r="AV398" s="555" t="str">
        <f>IF('別紙様式2-2（４・５月分）'!N302="","",'別紙様式2-2（４・５月分）'!N302)</f>
        <v/>
      </c>
      <c r="AW398" s="1305" t="str">
        <f>IF(SUM('別紙様式2-2（４・５月分）'!O302:O304)=0,"",SUM('別紙様式2-2（４・５月分）'!O302:O304))</f>
        <v/>
      </c>
      <c r="AX398" s="1306" t="str">
        <f>IFERROR(VLOOKUP(K398,【参考】数式用!$AH$2:$AI$34,2,FALSE),"")</f>
        <v/>
      </c>
      <c r="AY398" s="1222" t="s">
        <v>1959</v>
      </c>
      <c r="AZ398" s="1222" t="s">
        <v>1960</v>
      </c>
      <c r="BA398" s="1222" t="s">
        <v>1961</v>
      </c>
      <c r="BB398" s="1222" t="s">
        <v>1962</v>
      </c>
      <c r="BC398" s="1222" t="str">
        <f>IF(AND(O398&lt;&gt;"新加算Ⅰ",O398&lt;&gt;"新加算Ⅱ",O398&lt;&gt;"新加算Ⅲ",O398&lt;&gt;"新加算Ⅳ"),O398,IF(P400&lt;&gt;"",P400,""))</f>
        <v/>
      </c>
      <c r="BD398" s="1222"/>
      <c r="BE398" s="1222" t="str">
        <f t="shared" ref="BE398" si="1055">IF(AL398&lt;&gt;0,IF(AM398="○","入力済","未入力"),"")</f>
        <v/>
      </c>
      <c r="BF398" s="1222"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2" t="str">
        <f>IF(OR(T398="新加算Ⅴ（７）",T398="新加算Ⅴ（９）",T398="新加算Ⅴ（10）",T398="新加算Ⅴ（12）",T398="新加算Ⅴ（13）",T398="新加算Ⅴ（14）"),IF(OR(AO398="○",AO398="令和６年度中に満たす"),"入力済","未入力"),"")</f>
        <v/>
      </c>
      <c r="BH398" s="1323" t="str">
        <f t="shared" ref="BH398" si="1056">IF(OR(T398="新加算Ⅰ",T398="新加算Ⅱ",T398="新加算Ⅲ",T398="新加算Ⅴ（１）",T398="新加算Ⅴ（３）",T398="新加算Ⅴ（８）"),IF(OR(AP398="○",AP398="令和６年度中に満たす"),"入力済","未入力"),"")</f>
        <v/>
      </c>
      <c r="BI398" s="1325" t="str">
        <f t="shared" ref="BI398" si="1057">IF(OR(T398="新加算Ⅰ",T398="新加算Ⅱ",T398="新加算Ⅴ（１）",T398="新加算Ⅴ（２）",T398="新加算Ⅴ（３）",T398="新加算Ⅴ（４）",T398="新加算Ⅴ（５）",T398="新加算Ⅴ（６）",T398="新加算Ⅴ（７）",T398="新加算Ⅴ（９）",T398="新加算Ⅴ（10）",T398="新加算Ⅴ（12）"),1,"")</f>
        <v/>
      </c>
      <c r="BJ398" s="1303" t="str">
        <f>IF(OR(T398="新加算Ⅰ",T398="新加算Ⅴ（１）",T398="新加算Ⅴ（２）",T398="新加算Ⅴ（５）",T398="新加算Ⅴ（７）",T398="新加算Ⅴ（10）"),IF(AR398="","未入力","入力済"),"")</f>
        <v/>
      </c>
      <c r="BK398" s="452" t="str">
        <f>G398</f>
        <v/>
      </c>
    </row>
    <row r="399" spans="1:63" ht="15" customHeight="1">
      <c r="A399" s="1267"/>
      <c r="B399" s="1235"/>
      <c r="C399" s="1236"/>
      <c r="D399" s="1236"/>
      <c r="E399" s="1236"/>
      <c r="F399" s="1237"/>
      <c r="G399" s="1252"/>
      <c r="H399" s="1252"/>
      <c r="I399" s="1252"/>
      <c r="J399" s="1415"/>
      <c r="K399" s="1252"/>
      <c r="L399" s="1276"/>
      <c r="M399" s="1371" t="str">
        <f>IF('別紙様式2-2（４・５月分）'!P303="","",'別紙様式2-2（４・５月分）'!P303)</f>
        <v/>
      </c>
      <c r="N399" s="1392"/>
      <c r="O399" s="1398"/>
      <c r="P399" s="1399"/>
      <c r="Q399" s="1400"/>
      <c r="R399" s="1402"/>
      <c r="S399" s="1404"/>
      <c r="T399" s="1406"/>
      <c r="U399" s="1408"/>
      <c r="V399" s="1410"/>
      <c r="W399" s="1348"/>
      <c r="X399" s="1350"/>
      <c r="Y399" s="1348"/>
      <c r="Z399" s="1350"/>
      <c r="AA399" s="1348"/>
      <c r="AB399" s="1350"/>
      <c r="AC399" s="1348"/>
      <c r="AD399" s="1350"/>
      <c r="AE399" s="1350"/>
      <c r="AF399" s="1350"/>
      <c r="AG399" s="1352"/>
      <c r="AH399" s="1354"/>
      <c r="AI399" s="1356"/>
      <c r="AJ399" s="1358"/>
      <c r="AK399" s="1342"/>
      <c r="AL399" s="1346"/>
      <c r="AM399" s="1332"/>
      <c r="AN399" s="1338"/>
      <c r="AO399" s="1334"/>
      <c r="AP399" s="1334"/>
      <c r="AQ399" s="1336"/>
      <c r="AR399" s="1316"/>
      <c r="AS399" s="1302"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4"/>
      <c r="AU399" s="1303"/>
      <c r="AV399" s="1304" t="str">
        <f>IF('別紙様式2-2（４・５月分）'!N303="","",'別紙様式2-2（４・５月分）'!N303)</f>
        <v/>
      </c>
      <c r="AW399" s="1305"/>
      <c r="AX399" s="1306"/>
      <c r="AY399" s="1222"/>
      <c r="AZ399" s="1222"/>
      <c r="BA399" s="1222"/>
      <c r="BB399" s="1222"/>
      <c r="BC399" s="1222"/>
      <c r="BD399" s="1222"/>
      <c r="BE399" s="1222"/>
      <c r="BF399" s="1222"/>
      <c r="BG399" s="1222"/>
      <c r="BH399" s="1324"/>
      <c r="BI399" s="1326"/>
      <c r="BJ399" s="1303"/>
      <c r="BK399" s="452" t="str">
        <f>G398</f>
        <v/>
      </c>
    </row>
    <row r="400" spans="1:63" ht="15" customHeight="1">
      <c r="A400" s="1295"/>
      <c r="B400" s="1235"/>
      <c r="C400" s="1236"/>
      <c r="D400" s="1236"/>
      <c r="E400" s="1236"/>
      <c r="F400" s="1237"/>
      <c r="G400" s="1252"/>
      <c r="H400" s="1252"/>
      <c r="I400" s="1252"/>
      <c r="J400" s="1415"/>
      <c r="K400" s="1252"/>
      <c r="L400" s="1276"/>
      <c r="M400" s="1372"/>
      <c r="N400" s="1393"/>
      <c r="O400" s="1373" t="s">
        <v>2025</v>
      </c>
      <c r="P400" s="1375" t="str">
        <f>IFERROR(VLOOKUP('別紙様式2-2（４・５月分）'!AQ302,【参考】数式用!$AR$5:$AT$22,3,FALSE),"")</f>
        <v/>
      </c>
      <c r="Q400" s="1377" t="s">
        <v>2036</v>
      </c>
      <c r="R400" s="1379" t="str">
        <f>IFERROR(VLOOKUP(K398,【参考】数式用!$A$5:$AB$37,MATCH(P400,【参考】数式用!$B$4:$AB$4,0)+1,0),"")</f>
        <v/>
      </c>
      <c r="S400" s="1381" t="s">
        <v>161</v>
      </c>
      <c r="T400" s="1383"/>
      <c r="U400" s="1385" t="str">
        <f>IFERROR(VLOOKUP(K398,【参考】数式用!$A$5:$AB$37,MATCH(T400,【参考】数式用!$B$4:$AB$4,0)+1,0),"")</f>
        <v/>
      </c>
      <c r="V400" s="1387" t="s">
        <v>15</v>
      </c>
      <c r="W400" s="1389">
        <v>7</v>
      </c>
      <c r="X400" s="1363" t="s">
        <v>10</v>
      </c>
      <c r="Y400" s="1389">
        <v>4</v>
      </c>
      <c r="Z400" s="1363" t="s">
        <v>38</v>
      </c>
      <c r="AA400" s="1389">
        <v>8</v>
      </c>
      <c r="AB400" s="1363" t="s">
        <v>10</v>
      </c>
      <c r="AC400" s="1389">
        <v>3</v>
      </c>
      <c r="AD400" s="1363" t="s">
        <v>13</v>
      </c>
      <c r="AE400" s="1363" t="s">
        <v>20</v>
      </c>
      <c r="AF400" s="1363">
        <f>IF(W400&gt;=1,(AA400*12+AC400)-(W400*12+Y400)+1,"")</f>
        <v>12</v>
      </c>
      <c r="AG400" s="1359" t="s">
        <v>33</v>
      </c>
      <c r="AH400" s="1365" t="str">
        <f t="shared" ref="AH400" si="1059">IFERROR(ROUNDDOWN(ROUND(L398*U400,0),0)*AF400,"")</f>
        <v/>
      </c>
      <c r="AI400" s="1367" t="str">
        <f t="shared" ref="AI400" si="1060">IFERROR(ROUNDDOWN(ROUND((L398*(U400-AW398)),0),0)*AF400,"")</f>
        <v/>
      </c>
      <c r="AJ400" s="1369">
        <f>IFERROR(IF(OR(M398="",M399="",M401=""),0,ROUNDDOWN(ROUNDDOWN(ROUND(L398*VLOOKUP(K398,【参考】数式用!$A$5:$AB$37,MATCH("新加算Ⅳ",【参考】数式用!$B$4:$AB$4,0)+1,0),0),0)*AF400*0.5,0)),"")</f>
        <v>0</v>
      </c>
      <c r="AK400" s="1339" t="str">
        <f t="shared" ref="AK400" si="1061">IF(T400&lt;&gt;"","新規に適用","")</f>
        <v/>
      </c>
      <c r="AL400" s="1343">
        <f>IFERROR(IF(OR(M401="ベア加算",M401=""),0, IF(OR(T398="新加算Ⅰ",T398="新加算Ⅱ",T398="新加算Ⅲ",T398="新加算Ⅳ"),0,ROUNDDOWN(ROUND(L398*VLOOKUP(K398,【参考】数式用!$A$5:$I$37,MATCH("ベア加算",【参考】数式用!$B$4:$I$4,0)+1,0),0),0)*AF400)),"")</f>
        <v>0</v>
      </c>
      <c r="AM400" s="1313" t="str">
        <f>IF(AND(T400&lt;&gt;"",AM398=""),"新規に適用",IF(AND(T400&lt;&gt;"",AM398&lt;&gt;""),"継続で適用",""))</f>
        <v/>
      </c>
      <c r="AN400" s="1313" t="str">
        <f>IF(AND(T400&lt;&gt;"",AN398=""),"新規に適用",IF(AND(T400&lt;&gt;"",AN398&lt;&gt;""),"継続で適用",""))</f>
        <v/>
      </c>
      <c r="AO400" s="1361"/>
      <c r="AP400" s="1313" t="str">
        <f>IF(AND(T400&lt;&gt;"",AP398=""),"新規に適用",IF(AND(T400&lt;&gt;"",AP398&lt;&gt;""),"継続で適用",""))</f>
        <v/>
      </c>
      <c r="AQ400" s="1317" t="str">
        <f t="shared" si="951"/>
        <v/>
      </c>
      <c r="AR400" s="1313" t="str">
        <f>IF(AND(T400&lt;&gt;"",AR398=""),"新規に適用",IF(AND(T400&lt;&gt;"",AR398&lt;&gt;""),"継続で適用",""))</f>
        <v/>
      </c>
      <c r="AS400" s="1302"/>
      <c r="AT400" s="554"/>
      <c r="AU400" s="1303" t="str">
        <f>IF(K398&lt;&gt;"","V列に色付け","")</f>
        <v/>
      </c>
      <c r="AV400" s="1304"/>
      <c r="AW400" s="1305"/>
      <c r="AX400"/>
      <c r="AY400"/>
      <c r="AZ400"/>
      <c r="BA400"/>
      <c r="BB400"/>
      <c r="BC400"/>
      <c r="BD400"/>
      <c r="BE400"/>
      <c r="BF400"/>
      <c r="BG400"/>
      <c r="BH400"/>
      <c r="BI400"/>
      <c r="BJ400"/>
      <c r="BK400" s="452" t="str">
        <f>G398</f>
        <v/>
      </c>
    </row>
    <row r="401" spans="1:63" ht="30" customHeight="1" thickBot="1">
      <c r="A401" s="1268"/>
      <c r="B401" s="1411"/>
      <c r="C401" s="1412"/>
      <c r="D401" s="1412"/>
      <c r="E401" s="1412"/>
      <c r="F401" s="1413"/>
      <c r="G401" s="1253"/>
      <c r="H401" s="1253"/>
      <c r="I401" s="1253"/>
      <c r="J401" s="1416"/>
      <c r="K401" s="1253"/>
      <c r="L401" s="1277"/>
      <c r="M401" s="553" t="str">
        <f>IF('別紙様式2-2（４・５月分）'!P304="","",'別紙様式2-2（４・５月分）'!P304)</f>
        <v/>
      </c>
      <c r="N401" s="1394"/>
      <c r="O401" s="1374"/>
      <c r="P401" s="1376"/>
      <c r="Q401" s="1378"/>
      <c r="R401" s="1380"/>
      <c r="S401" s="1382"/>
      <c r="T401" s="1384"/>
      <c r="U401" s="1386"/>
      <c r="V401" s="1388"/>
      <c r="W401" s="1390"/>
      <c r="X401" s="1364"/>
      <c r="Y401" s="1390"/>
      <c r="Z401" s="1364"/>
      <c r="AA401" s="1390"/>
      <c r="AB401" s="1364"/>
      <c r="AC401" s="1390"/>
      <c r="AD401" s="1364"/>
      <c r="AE401" s="1364"/>
      <c r="AF401" s="1364"/>
      <c r="AG401" s="1360"/>
      <c r="AH401" s="1366"/>
      <c r="AI401" s="1368"/>
      <c r="AJ401" s="1370"/>
      <c r="AK401" s="1340"/>
      <c r="AL401" s="1344"/>
      <c r="AM401" s="1314"/>
      <c r="AN401" s="1314"/>
      <c r="AO401" s="1362"/>
      <c r="AP401" s="1314"/>
      <c r="AQ401" s="1318"/>
      <c r="AR401" s="1314"/>
      <c r="AS401" s="490"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4"/>
      <c r="AU401" s="1303"/>
      <c r="AV401" s="555" t="str">
        <f>IF('別紙様式2-2（４・５月分）'!N304="","",'別紙様式2-2（４・５月分）'!N304)</f>
        <v/>
      </c>
      <c r="AW401" s="1305"/>
      <c r="AX401"/>
      <c r="AY401"/>
      <c r="AZ401"/>
      <c r="BA401"/>
      <c r="BB401"/>
      <c r="BC401"/>
      <c r="BD401"/>
      <c r="BE401"/>
      <c r="BF401"/>
      <c r="BG401"/>
      <c r="BH401"/>
      <c r="BI401"/>
      <c r="BJ401"/>
      <c r="BK401" s="452" t="str">
        <f>G398</f>
        <v/>
      </c>
    </row>
    <row r="402" spans="1:63" ht="30" customHeight="1">
      <c r="A402" s="1293">
        <v>98</v>
      </c>
      <c r="B402" s="1232" t="str">
        <f>IF(基本情報入力シート!C151="","",基本情報入力シート!C151)</f>
        <v/>
      </c>
      <c r="C402" s="1233"/>
      <c r="D402" s="1233"/>
      <c r="E402" s="1233"/>
      <c r="F402" s="1234"/>
      <c r="G402" s="1251" t="str">
        <f>IF(基本情報入力シート!M151="","",基本情報入力シート!M151)</f>
        <v/>
      </c>
      <c r="H402" s="1251" t="str">
        <f>IF(基本情報入力シート!R151="","",基本情報入力シート!R151)</f>
        <v/>
      </c>
      <c r="I402" s="1251" t="str">
        <f>IF(基本情報入力シート!W151="","",基本情報入力シート!W151)</f>
        <v/>
      </c>
      <c r="J402" s="1414" t="str">
        <f>IF(基本情報入力シート!X151="","",基本情報入力シート!X151)</f>
        <v/>
      </c>
      <c r="K402" s="1251" t="str">
        <f>IF(基本情報入力シート!Y151="","",基本情報入力シート!Y151)</f>
        <v/>
      </c>
      <c r="L402" s="1275" t="str">
        <f>IF(基本情報入力シート!AB151="","",基本情報入力シート!AB151)</f>
        <v/>
      </c>
      <c r="M402" s="550" t="str">
        <f>IF('別紙様式2-2（４・５月分）'!P305="","",'別紙様式2-2（４・５月分）'!P305)</f>
        <v/>
      </c>
      <c r="N402" s="1391" t="str">
        <f>IF(SUM('別紙様式2-2（４・５月分）'!Q305:Q307)=0,"",SUM('別紙様式2-2（４・５月分）'!Q305:Q307))</f>
        <v/>
      </c>
      <c r="O402" s="1395" t="str">
        <f>IFERROR(VLOOKUP('別紙様式2-2（４・５月分）'!AQ305,【参考】数式用!$AR$5:$AS$22,2,FALSE),"")</f>
        <v/>
      </c>
      <c r="P402" s="1396"/>
      <c r="Q402" s="1397"/>
      <c r="R402" s="1401" t="str">
        <f>IFERROR(VLOOKUP(K402,【参考】数式用!$A$5:$AB$37,MATCH(O402,【参考】数式用!$B$4:$AB$4,0)+1,0),"")</f>
        <v/>
      </c>
      <c r="S402" s="1403" t="s">
        <v>2021</v>
      </c>
      <c r="T402" s="1405"/>
      <c r="U402" s="1407" t="str">
        <f>IFERROR(VLOOKUP(K402,【参考】数式用!$A$5:$AB$37,MATCH(T402,【参考】数式用!$B$4:$AB$4,0)+1,0),"")</f>
        <v/>
      </c>
      <c r="V402" s="1409" t="s">
        <v>15</v>
      </c>
      <c r="W402" s="1347">
        <v>6</v>
      </c>
      <c r="X402" s="1349" t="s">
        <v>10</v>
      </c>
      <c r="Y402" s="1347">
        <v>6</v>
      </c>
      <c r="Z402" s="1349" t="s">
        <v>38</v>
      </c>
      <c r="AA402" s="1347">
        <v>7</v>
      </c>
      <c r="AB402" s="1349" t="s">
        <v>10</v>
      </c>
      <c r="AC402" s="1347">
        <v>3</v>
      </c>
      <c r="AD402" s="1349" t="s">
        <v>13</v>
      </c>
      <c r="AE402" s="1349" t="s">
        <v>20</v>
      </c>
      <c r="AF402" s="1349">
        <f>IF(W402&gt;=1,(AA402*12+AC402)-(W402*12+Y402)+1,"")</f>
        <v>10</v>
      </c>
      <c r="AG402" s="1351" t="s">
        <v>33</v>
      </c>
      <c r="AH402" s="1353" t="str">
        <f t="shared" ref="AH402" si="1063">IFERROR(ROUNDDOWN(ROUND(L402*U402,0),0)*AF402,"")</f>
        <v/>
      </c>
      <c r="AI402" s="1355" t="str">
        <f t="shared" ref="AI402" si="1064">IFERROR(ROUNDDOWN(ROUND((L402*(U402-AW402)),0),0)*AF402,"")</f>
        <v/>
      </c>
      <c r="AJ402" s="1357">
        <f>IFERROR(IF(OR(M402="",M403="",M405=""),0,ROUNDDOWN(ROUNDDOWN(ROUND(L402*VLOOKUP(K402,【参考】数式用!$A$5:$AB$37,MATCH("新加算Ⅳ",【参考】数式用!$B$4:$AB$4,0)+1,0),0),0)*AF402*0.5,0)),"")</f>
        <v>0</v>
      </c>
      <c r="AK402" s="1341"/>
      <c r="AL402" s="1345">
        <f>IFERROR(IF(OR(M405="ベア加算",M405=""),0, IF(OR(T402="新加算Ⅰ",T402="新加算Ⅱ",T402="新加算Ⅲ",T402="新加算Ⅳ"),ROUNDDOWN(ROUND(L402*VLOOKUP(K402,【参考】数式用!$A$5:$I$37,MATCH("ベア加算",【参考】数式用!$B$4:$I$4,0)+1,0),0),0)*AF402,0)),"")</f>
        <v>0</v>
      </c>
      <c r="AM402" s="1331"/>
      <c r="AN402" s="1337"/>
      <c r="AO402" s="1333"/>
      <c r="AP402" s="1333"/>
      <c r="AQ402" s="1335"/>
      <c r="AR402" s="1315"/>
      <c r="AS402" s="465" t="str">
        <f t="shared" ref="AS402" si="1065">IF(AU402="","",IF(U402&lt;N402,"！加算の要件上は問題ありませんが、令和６年４・５月と比較して令和６年６月に加算率が下がる計画になっています。",""))</f>
        <v/>
      </c>
      <c r="AT402" s="554"/>
      <c r="AU402" s="1303" t="str">
        <f>IF(K402&lt;&gt;"","V列に色付け","")</f>
        <v/>
      </c>
      <c r="AV402" s="555" t="str">
        <f>IF('別紙様式2-2（４・５月分）'!N305="","",'別紙様式2-2（４・５月分）'!N305)</f>
        <v/>
      </c>
      <c r="AW402" s="1305" t="str">
        <f>IF(SUM('別紙様式2-2（４・５月分）'!O305:O307)=0,"",SUM('別紙様式2-2（４・５月分）'!O305:O307))</f>
        <v/>
      </c>
      <c r="AX402" s="1306" t="str">
        <f>IFERROR(VLOOKUP(K402,【参考】数式用!$AH$2:$AI$34,2,FALSE),"")</f>
        <v/>
      </c>
      <c r="AY402" s="1222" t="s">
        <v>1959</v>
      </c>
      <c r="AZ402" s="1222" t="s">
        <v>1960</v>
      </c>
      <c r="BA402" s="1222" t="s">
        <v>1961</v>
      </c>
      <c r="BB402" s="1222" t="s">
        <v>1962</v>
      </c>
      <c r="BC402" s="1222" t="str">
        <f>IF(AND(O402&lt;&gt;"新加算Ⅰ",O402&lt;&gt;"新加算Ⅱ",O402&lt;&gt;"新加算Ⅲ",O402&lt;&gt;"新加算Ⅳ"),O402,IF(P404&lt;&gt;"",P404,""))</f>
        <v/>
      </c>
      <c r="BD402" s="1222"/>
      <c r="BE402" s="1222" t="str">
        <f t="shared" ref="BE402" si="1066">IF(AL402&lt;&gt;0,IF(AM402="○","入力済","未入力"),"")</f>
        <v/>
      </c>
      <c r="BF402" s="1222"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2" t="str">
        <f>IF(OR(T402="新加算Ⅴ（７）",T402="新加算Ⅴ（９）",T402="新加算Ⅴ（10）",T402="新加算Ⅴ（12）",T402="新加算Ⅴ（13）",T402="新加算Ⅴ（14）"),IF(OR(AO402="○",AO402="令和６年度中に満たす"),"入力済","未入力"),"")</f>
        <v/>
      </c>
      <c r="BH402" s="1323" t="str">
        <f t="shared" ref="BH402" si="1067">IF(OR(T402="新加算Ⅰ",T402="新加算Ⅱ",T402="新加算Ⅲ",T402="新加算Ⅴ（１）",T402="新加算Ⅴ（３）",T402="新加算Ⅴ（８）"),IF(OR(AP402="○",AP402="令和６年度中に満たす"),"入力済","未入力"),"")</f>
        <v/>
      </c>
      <c r="BI402" s="1325" t="str">
        <f t="shared" ref="BI402" si="1068">IF(OR(T402="新加算Ⅰ",T402="新加算Ⅱ",T402="新加算Ⅴ（１）",T402="新加算Ⅴ（２）",T402="新加算Ⅴ（３）",T402="新加算Ⅴ（４）",T402="新加算Ⅴ（５）",T402="新加算Ⅴ（６）",T402="新加算Ⅴ（７）",T402="新加算Ⅴ（９）",T402="新加算Ⅴ（10）",T402="新加算Ⅴ（12）"),1,"")</f>
        <v/>
      </c>
      <c r="BJ402" s="1303" t="str">
        <f>IF(OR(T402="新加算Ⅰ",T402="新加算Ⅴ（１）",T402="新加算Ⅴ（２）",T402="新加算Ⅴ（５）",T402="新加算Ⅴ（７）",T402="新加算Ⅴ（10）"),IF(AR402="","未入力","入力済"),"")</f>
        <v/>
      </c>
      <c r="BK402" s="452" t="str">
        <f>G402</f>
        <v/>
      </c>
    </row>
    <row r="403" spans="1:63" ht="15" customHeight="1">
      <c r="A403" s="1267"/>
      <c r="B403" s="1235"/>
      <c r="C403" s="1236"/>
      <c r="D403" s="1236"/>
      <c r="E403" s="1236"/>
      <c r="F403" s="1237"/>
      <c r="G403" s="1252"/>
      <c r="H403" s="1252"/>
      <c r="I403" s="1252"/>
      <c r="J403" s="1415"/>
      <c r="K403" s="1252"/>
      <c r="L403" s="1276"/>
      <c r="M403" s="1371" t="str">
        <f>IF('別紙様式2-2（４・５月分）'!P306="","",'別紙様式2-2（４・５月分）'!P306)</f>
        <v/>
      </c>
      <c r="N403" s="1392"/>
      <c r="O403" s="1398"/>
      <c r="P403" s="1399"/>
      <c r="Q403" s="1400"/>
      <c r="R403" s="1402"/>
      <c r="S403" s="1404"/>
      <c r="T403" s="1406"/>
      <c r="U403" s="1408"/>
      <c r="V403" s="1410"/>
      <c r="W403" s="1348"/>
      <c r="X403" s="1350"/>
      <c r="Y403" s="1348"/>
      <c r="Z403" s="1350"/>
      <c r="AA403" s="1348"/>
      <c r="AB403" s="1350"/>
      <c r="AC403" s="1348"/>
      <c r="AD403" s="1350"/>
      <c r="AE403" s="1350"/>
      <c r="AF403" s="1350"/>
      <c r="AG403" s="1352"/>
      <c r="AH403" s="1354"/>
      <c r="AI403" s="1356"/>
      <c r="AJ403" s="1358"/>
      <c r="AK403" s="1342"/>
      <c r="AL403" s="1346"/>
      <c r="AM403" s="1332"/>
      <c r="AN403" s="1338"/>
      <c r="AO403" s="1334"/>
      <c r="AP403" s="1334"/>
      <c r="AQ403" s="1336"/>
      <c r="AR403" s="1316"/>
      <c r="AS403" s="1302"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4"/>
      <c r="AU403" s="1303"/>
      <c r="AV403" s="1304" t="str">
        <f>IF('別紙様式2-2（４・５月分）'!N306="","",'別紙様式2-2（４・５月分）'!N306)</f>
        <v/>
      </c>
      <c r="AW403" s="1305"/>
      <c r="AX403" s="1306"/>
      <c r="AY403" s="1222"/>
      <c r="AZ403" s="1222"/>
      <c r="BA403" s="1222"/>
      <c r="BB403" s="1222"/>
      <c r="BC403" s="1222"/>
      <c r="BD403" s="1222"/>
      <c r="BE403" s="1222"/>
      <c r="BF403" s="1222"/>
      <c r="BG403" s="1222"/>
      <c r="BH403" s="1324"/>
      <c r="BI403" s="1326"/>
      <c r="BJ403" s="1303"/>
      <c r="BK403" s="452" t="str">
        <f>G402</f>
        <v/>
      </c>
    </row>
    <row r="404" spans="1:63" ht="15" customHeight="1">
      <c r="A404" s="1295"/>
      <c r="B404" s="1235"/>
      <c r="C404" s="1236"/>
      <c r="D404" s="1236"/>
      <c r="E404" s="1236"/>
      <c r="F404" s="1237"/>
      <c r="G404" s="1252"/>
      <c r="H404" s="1252"/>
      <c r="I404" s="1252"/>
      <c r="J404" s="1415"/>
      <c r="K404" s="1252"/>
      <c r="L404" s="1276"/>
      <c r="M404" s="1372"/>
      <c r="N404" s="1393"/>
      <c r="O404" s="1373" t="s">
        <v>2025</v>
      </c>
      <c r="P404" s="1375" t="str">
        <f>IFERROR(VLOOKUP('別紙様式2-2（４・５月分）'!AQ305,【参考】数式用!$AR$5:$AT$22,3,FALSE),"")</f>
        <v/>
      </c>
      <c r="Q404" s="1377" t="s">
        <v>2036</v>
      </c>
      <c r="R404" s="1379" t="str">
        <f>IFERROR(VLOOKUP(K402,【参考】数式用!$A$5:$AB$37,MATCH(P404,【参考】数式用!$B$4:$AB$4,0)+1,0),"")</f>
        <v/>
      </c>
      <c r="S404" s="1381" t="s">
        <v>161</v>
      </c>
      <c r="T404" s="1383"/>
      <c r="U404" s="1385" t="str">
        <f>IFERROR(VLOOKUP(K402,【参考】数式用!$A$5:$AB$37,MATCH(T404,【参考】数式用!$B$4:$AB$4,0)+1,0),"")</f>
        <v/>
      </c>
      <c r="V404" s="1387" t="s">
        <v>15</v>
      </c>
      <c r="W404" s="1389">
        <v>7</v>
      </c>
      <c r="X404" s="1363" t="s">
        <v>10</v>
      </c>
      <c r="Y404" s="1389">
        <v>4</v>
      </c>
      <c r="Z404" s="1363" t="s">
        <v>38</v>
      </c>
      <c r="AA404" s="1389">
        <v>8</v>
      </c>
      <c r="AB404" s="1363" t="s">
        <v>10</v>
      </c>
      <c r="AC404" s="1389">
        <v>3</v>
      </c>
      <c r="AD404" s="1363" t="s">
        <v>13</v>
      </c>
      <c r="AE404" s="1363" t="s">
        <v>20</v>
      </c>
      <c r="AF404" s="1363">
        <f>IF(W404&gt;=1,(AA404*12+AC404)-(W404*12+Y404)+1,"")</f>
        <v>12</v>
      </c>
      <c r="AG404" s="1359" t="s">
        <v>33</v>
      </c>
      <c r="AH404" s="1365" t="str">
        <f t="shared" ref="AH404" si="1070">IFERROR(ROUNDDOWN(ROUND(L402*U404,0),0)*AF404,"")</f>
        <v/>
      </c>
      <c r="AI404" s="1367" t="str">
        <f t="shared" ref="AI404" si="1071">IFERROR(ROUNDDOWN(ROUND((L402*(U404-AW402)),0),0)*AF404,"")</f>
        <v/>
      </c>
      <c r="AJ404" s="1369">
        <f>IFERROR(IF(OR(M402="",M403="",M405=""),0,ROUNDDOWN(ROUNDDOWN(ROUND(L402*VLOOKUP(K402,【参考】数式用!$A$5:$AB$37,MATCH("新加算Ⅳ",【参考】数式用!$B$4:$AB$4,0)+1,0),0),0)*AF404*0.5,0)),"")</f>
        <v>0</v>
      </c>
      <c r="AK404" s="1339" t="str">
        <f t="shared" ref="AK404" si="1072">IF(T404&lt;&gt;"","新規に適用","")</f>
        <v/>
      </c>
      <c r="AL404" s="1343">
        <f>IFERROR(IF(OR(M405="ベア加算",M405=""),0, IF(OR(T402="新加算Ⅰ",T402="新加算Ⅱ",T402="新加算Ⅲ",T402="新加算Ⅳ"),0,ROUNDDOWN(ROUND(L402*VLOOKUP(K402,【参考】数式用!$A$5:$I$37,MATCH("ベア加算",【参考】数式用!$B$4:$I$4,0)+1,0),0),0)*AF404)),"")</f>
        <v>0</v>
      </c>
      <c r="AM404" s="1313" t="str">
        <f>IF(AND(T404&lt;&gt;"",AM402=""),"新規に適用",IF(AND(T404&lt;&gt;"",AM402&lt;&gt;""),"継続で適用",""))</f>
        <v/>
      </c>
      <c r="AN404" s="1313" t="str">
        <f>IF(AND(T404&lt;&gt;"",AN402=""),"新規に適用",IF(AND(T404&lt;&gt;"",AN402&lt;&gt;""),"継続で適用",""))</f>
        <v/>
      </c>
      <c r="AO404" s="1361"/>
      <c r="AP404" s="1313" t="str">
        <f>IF(AND(T404&lt;&gt;"",AP402=""),"新規に適用",IF(AND(T404&lt;&gt;"",AP402&lt;&gt;""),"継続で適用",""))</f>
        <v/>
      </c>
      <c r="AQ404" s="1317" t="str">
        <f t="shared" si="951"/>
        <v/>
      </c>
      <c r="AR404" s="1313" t="str">
        <f>IF(AND(T404&lt;&gt;"",AR402=""),"新規に適用",IF(AND(T404&lt;&gt;"",AR402&lt;&gt;""),"継続で適用",""))</f>
        <v/>
      </c>
      <c r="AS404" s="1302"/>
      <c r="AT404" s="554"/>
      <c r="AU404" s="1303" t="str">
        <f>IF(K402&lt;&gt;"","V列に色付け","")</f>
        <v/>
      </c>
      <c r="AV404" s="1304"/>
      <c r="AW404" s="1305"/>
      <c r="AX404"/>
      <c r="AY404"/>
      <c r="AZ404"/>
      <c r="BA404"/>
      <c r="BB404"/>
      <c r="BC404"/>
      <c r="BD404"/>
      <c r="BE404"/>
      <c r="BF404"/>
      <c r="BG404"/>
      <c r="BH404"/>
      <c r="BI404"/>
      <c r="BJ404"/>
      <c r="BK404" s="452" t="str">
        <f>G402</f>
        <v/>
      </c>
    </row>
    <row r="405" spans="1:63" ht="30" customHeight="1" thickBot="1">
      <c r="A405" s="1268"/>
      <c r="B405" s="1411"/>
      <c r="C405" s="1412"/>
      <c r="D405" s="1412"/>
      <c r="E405" s="1412"/>
      <c r="F405" s="1413"/>
      <c r="G405" s="1253"/>
      <c r="H405" s="1253"/>
      <c r="I405" s="1253"/>
      <c r="J405" s="1416"/>
      <c r="K405" s="1253"/>
      <c r="L405" s="1277"/>
      <c r="M405" s="553" t="str">
        <f>IF('別紙様式2-2（４・５月分）'!P307="","",'別紙様式2-2（４・５月分）'!P307)</f>
        <v/>
      </c>
      <c r="N405" s="1394"/>
      <c r="O405" s="1374"/>
      <c r="P405" s="1376"/>
      <c r="Q405" s="1378"/>
      <c r="R405" s="1380"/>
      <c r="S405" s="1382"/>
      <c r="T405" s="1384"/>
      <c r="U405" s="1386"/>
      <c r="V405" s="1388"/>
      <c r="W405" s="1390"/>
      <c r="X405" s="1364"/>
      <c r="Y405" s="1390"/>
      <c r="Z405" s="1364"/>
      <c r="AA405" s="1390"/>
      <c r="AB405" s="1364"/>
      <c r="AC405" s="1390"/>
      <c r="AD405" s="1364"/>
      <c r="AE405" s="1364"/>
      <c r="AF405" s="1364"/>
      <c r="AG405" s="1360"/>
      <c r="AH405" s="1366"/>
      <c r="AI405" s="1368"/>
      <c r="AJ405" s="1370"/>
      <c r="AK405" s="1340"/>
      <c r="AL405" s="1344"/>
      <c r="AM405" s="1314"/>
      <c r="AN405" s="1314"/>
      <c r="AO405" s="1362"/>
      <c r="AP405" s="1314"/>
      <c r="AQ405" s="1318"/>
      <c r="AR405" s="1314"/>
      <c r="AS405" s="490"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4"/>
      <c r="AU405" s="1303"/>
      <c r="AV405" s="555" t="str">
        <f>IF('別紙様式2-2（４・５月分）'!N307="","",'別紙様式2-2（４・５月分）'!N307)</f>
        <v/>
      </c>
      <c r="AW405" s="1305"/>
      <c r="AX405"/>
      <c r="AY405"/>
      <c r="AZ405"/>
      <c r="BA405"/>
      <c r="BB405"/>
      <c r="BC405"/>
      <c r="BD405"/>
      <c r="BE405"/>
      <c r="BF405"/>
      <c r="BG405"/>
      <c r="BH405"/>
      <c r="BI405"/>
      <c r="BJ405"/>
      <c r="BK405" s="452" t="str">
        <f>G402</f>
        <v/>
      </c>
    </row>
    <row r="406" spans="1:63" ht="30" customHeight="1">
      <c r="A406" s="1266">
        <v>99</v>
      </c>
      <c r="B406" s="1235" t="str">
        <f>IF(基本情報入力シート!C152="","",基本情報入力シート!C152)</f>
        <v/>
      </c>
      <c r="C406" s="1236"/>
      <c r="D406" s="1236"/>
      <c r="E406" s="1236"/>
      <c r="F406" s="1237"/>
      <c r="G406" s="1252" t="str">
        <f>IF(基本情報入力シート!M152="","",基本情報入力シート!M152)</f>
        <v/>
      </c>
      <c r="H406" s="1252" t="str">
        <f>IF(基本情報入力シート!R152="","",基本情報入力シート!R152)</f>
        <v/>
      </c>
      <c r="I406" s="1252" t="str">
        <f>IF(基本情報入力シート!W152="","",基本情報入力シート!W152)</f>
        <v/>
      </c>
      <c r="J406" s="1415" t="str">
        <f>IF(基本情報入力シート!X152="","",基本情報入力シート!X152)</f>
        <v/>
      </c>
      <c r="K406" s="1252" t="str">
        <f>IF(基本情報入力シート!Y152="","",基本情報入力シート!Y152)</f>
        <v/>
      </c>
      <c r="L406" s="1276" t="str">
        <f>IF(基本情報入力シート!AB152="","",基本情報入力シート!AB152)</f>
        <v/>
      </c>
      <c r="M406" s="550" t="str">
        <f>IF('別紙様式2-2（４・５月分）'!P308="","",'別紙様式2-2（４・５月分）'!P308)</f>
        <v/>
      </c>
      <c r="N406" s="1391" t="str">
        <f>IF(SUM('別紙様式2-2（４・５月分）'!Q308:Q310)=0,"",SUM('別紙様式2-2（４・５月分）'!Q308:Q310))</f>
        <v/>
      </c>
      <c r="O406" s="1395" t="str">
        <f>IFERROR(VLOOKUP('別紙様式2-2（４・５月分）'!AQ308,【参考】数式用!$AR$5:$AS$22,2,FALSE),"")</f>
        <v/>
      </c>
      <c r="P406" s="1396"/>
      <c r="Q406" s="1397"/>
      <c r="R406" s="1401" t="str">
        <f>IFERROR(VLOOKUP(K406,【参考】数式用!$A$5:$AB$37,MATCH(O406,【参考】数式用!$B$4:$AB$4,0)+1,0),"")</f>
        <v/>
      </c>
      <c r="S406" s="1403" t="s">
        <v>2021</v>
      </c>
      <c r="T406" s="1405"/>
      <c r="U406" s="1407" t="str">
        <f>IFERROR(VLOOKUP(K406,【参考】数式用!$A$5:$AB$37,MATCH(T406,【参考】数式用!$B$4:$AB$4,0)+1,0),"")</f>
        <v/>
      </c>
      <c r="V406" s="1409" t="s">
        <v>15</v>
      </c>
      <c r="W406" s="1347">
        <v>6</v>
      </c>
      <c r="X406" s="1349" t="s">
        <v>10</v>
      </c>
      <c r="Y406" s="1347">
        <v>6</v>
      </c>
      <c r="Z406" s="1349" t="s">
        <v>38</v>
      </c>
      <c r="AA406" s="1347">
        <v>7</v>
      </c>
      <c r="AB406" s="1349" t="s">
        <v>10</v>
      </c>
      <c r="AC406" s="1347">
        <v>3</v>
      </c>
      <c r="AD406" s="1349" t="s">
        <v>13</v>
      </c>
      <c r="AE406" s="1349" t="s">
        <v>20</v>
      </c>
      <c r="AF406" s="1349">
        <f>IF(W406&gt;=1,(AA406*12+AC406)-(W406*12+Y406)+1,"")</f>
        <v>10</v>
      </c>
      <c r="AG406" s="1351" t="s">
        <v>33</v>
      </c>
      <c r="AH406" s="1353" t="str">
        <f t="shared" ref="AH406" si="1074">IFERROR(ROUNDDOWN(ROUND(L406*U406,0),0)*AF406,"")</f>
        <v/>
      </c>
      <c r="AI406" s="1355" t="str">
        <f t="shared" ref="AI406" si="1075">IFERROR(ROUNDDOWN(ROUND((L406*(U406-AW406)),0),0)*AF406,"")</f>
        <v/>
      </c>
      <c r="AJ406" s="1357">
        <f>IFERROR(IF(OR(M406="",M407="",M409=""),0,ROUNDDOWN(ROUNDDOWN(ROUND(L406*VLOOKUP(K406,【参考】数式用!$A$5:$AB$37,MATCH("新加算Ⅳ",【参考】数式用!$B$4:$AB$4,0)+1,0),0),0)*AF406*0.5,0)),"")</f>
        <v>0</v>
      </c>
      <c r="AK406" s="1341"/>
      <c r="AL406" s="1345">
        <f>IFERROR(IF(OR(M409="ベア加算",M409=""),0, IF(OR(T406="新加算Ⅰ",T406="新加算Ⅱ",T406="新加算Ⅲ",T406="新加算Ⅳ"),ROUNDDOWN(ROUND(L406*VLOOKUP(K406,【参考】数式用!$A$5:$I$37,MATCH("ベア加算",【参考】数式用!$B$4:$I$4,0)+1,0),0),0)*AF406,0)),"")</f>
        <v>0</v>
      </c>
      <c r="AM406" s="1331"/>
      <c r="AN406" s="1337"/>
      <c r="AO406" s="1333"/>
      <c r="AP406" s="1333"/>
      <c r="AQ406" s="1335"/>
      <c r="AR406" s="1315"/>
      <c r="AS406" s="465" t="str">
        <f t="shared" ref="AS406" si="1076">IF(AU406="","",IF(U406&lt;N406,"！加算の要件上は問題ありませんが、令和６年４・５月と比較して令和６年６月に加算率が下がる計画になっています。",""))</f>
        <v/>
      </c>
      <c r="AT406" s="554"/>
      <c r="AU406" s="1303" t="str">
        <f>IF(K406&lt;&gt;"","V列に色付け","")</f>
        <v/>
      </c>
      <c r="AV406" s="555" t="str">
        <f>IF('別紙様式2-2（４・５月分）'!N308="","",'別紙様式2-2（４・５月分）'!N308)</f>
        <v/>
      </c>
      <c r="AW406" s="1305" t="str">
        <f>IF(SUM('別紙様式2-2（４・５月分）'!O308:O310)=0,"",SUM('別紙様式2-2（４・５月分）'!O308:O310))</f>
        <v/>
      </c>
      <c r="AX406" s="1306" t="str">
        <f>IFERROR(VLOOKUP(K406,【参考】数式用!$AH$2:$AI$34,2,FALSE),"")</f>
        <v/>
      </c>
      <c r="AY406" s="1222" t="s">
        <v>1959</v>
      </c>
      <c r="AZ406" s="1222" t="s">
        <v>1960</v>
      </c>
      <c r="BA406" s="1222" t="s">
        <v>1961</v>
      </c>
      <c r="BB406" s="1222" t="s">
        <v>1962</v>
      </c>
      <c r="BC406" s="1222" t="str">
        <f>IF(AND(O406&lt;&gt;"新加算Ⅰ",O406&lt;&gt;"新加算Ⅱ",O406&lt;&gt;"新加算Ⅲ",O406&lt;&gt;"新加算Ⅳ"),O406,IF(P408&lt;&gt;"",P408,""))</f>
        <v/>
      </c>
      <c r="BD406" s="1222"/>
      <c r="BE406" s="1222" t="str">
        <f t="shared" ref="BE406:BE410" si="1077">IF(AL406&lt;&gt;0,IF(AM406="○","入力済","未入力"),"")</f>
        <v/>
      </c>
      <c r="BF406" s="1222"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2" t="str">
        <f>IF(OR(T406="新加算Ⅴ（７）",T406="新加算Ⅴ（９）",T406="新加算Ⅴ（10）",T406="新加算Ⅴ（12）",T406="新加算Ⅴ（13）",T406="新加算Ⅴ（14）"),IF(OR(AO406="○",AO406="令和６年度中に満たす"),"入力済","未入力"),"")</f>
        <v/>
      </c>
      <c r="BH406" s="1323" t="str">
        <f t="shared" ref="BH406" si="1078">IF(OR(T406="新加算Ⅰ",T406="新加算Ⅱ",T406="新加算Ⅲ",T406="新加算Ⅴ（１）",T406="新加算Ⅴ（３）",T406="新加算Ⅴ（８）"),IF(OR(AP406="○",AP406="令和６年度中に満たす"),"入力済","未入力"),"")</f>
        <v/>
      </c>
      <c r="BI406" s="1325" t="str">
        <f t="shared" ref="BI406" si="1079">IF(OR(T406="新加算Ⅰ",T406="新加算Ⅱ",T406="新加算Ⅴ（１）",T406="新加算Ⅴ（２）",T406="新加算Ⅴ（３）",T406="新加算Ⅴ（４）",T406="新加算Ⅴ（５）",T406="新加算Ⅴ（６）",T406="新加算Ⅴ（７）",T406="新加算Ⅴ（９）",T406="新加算Ⅴ（10）",T406="新加算Ⅴ（12）"),1,"")</f>
        <v/>
      </c>
      <c r="BJ406" s="1303" t="str">
        <f>IF(OR(T406="新加算Ⅰ",T406="新加算Ⅴ（１）",T406="新加算Ⅴ（２）",T406="新加算Ⅴ（５）",T406="新加算Ⅴ（７）",T406="新加算Ⅴ（10）"),IF(AR406="","未入力","入力済"),"")</f>
        <v/>
      </c>
      <c r="BK406" s="452" t="str">
        <f>G406</f>
        <v/>
      </c>
    </row>
    <row r="407" spans="1:63" ht="15" customHeight="1">
      <c r="A407" s="1267"/>
      <c r="B407" s="1235"/>
      <c r="C407" s="1236"/>
      <c r="D407" s="1236"/>
      <c r="E407" s="1236"/>
      <c r="F407" s="1237"/>
      <c r="G407" s="1252"/>
      <c r="H407" s="1252"/>
      <c r="I407" s="1252"/>
      <c r="J407" s="1415"/>
      <c r="K407" s="1252"/>
      <c r="L407" s="1276"/>
      <c r="M407" s="1371" t="str">
        <f>IF('別紙様式2-2（４・５月分）'!P309="","",'別紙様式2-2（４・５月分）'!P309)</f>
        <v/>
      </c>
      <c r="N407" s="1392"/>
      <c r="O407" s="1398"/>
      <c r="P407" s="1399"/>
      <c r="Q407" s="1400"/>
      <c r="R407" s="1402"/>
      <c r="S407" s="1404"/>
      <c r="T407" s="1406"/>
      <c r="U407" s="1408"/>
      <c r="V407" s="1410"/>
      <c r="W407" s="1348"/>
      <c r="X407" s="1350"/>
      <c r="Y407" s="1348"/>
      <c r="Z407" s="1350"/>
      <c r="AA407" s="1348"/>
      <c r="AB407" s="1350"/>
      <c r="AC407" s="1348"/>
      <c r="AD407" s="1350"/>
      <c r="AE407" s="1350"/>
      <c r="AF407" s="1350"/>
      <c r="AG407" s="1352"/>
      <c r="AH407" s="1354"/>
      <c r="AI407" s="1356"/>
      <c r="AJ407" s="1358"/>
      <c r="AK407" s="1342"/>
      <c r="AL407" s="1346"/>
      <c r="AM407" s="1332"/>
      <c r="AN407" s="1338"/>
      <c r="AO407" s="1334"/>
      <c r="AP407" s="1334"/>
      <c r="AQ407" s="1336"/>
      <c r="AR407" s="1316"/>
      <c r="AS407" s="1302"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4"/>
      <c r="AU407" s="1303"/>
      <c r="AV407" s="1304" t="str">
        <f>IF('別紙様式2-2（４・５月分）'!N309="","",'別紙様式2-2（４・５月分）'!N309)</f>
        <v/>
      </c>
      <c r="AW407" s="1305"/>
      <c r="AX407" s="1306"/>
      <c r="AY407" s="1222"/>
      <c r="AZ407" s="1222"/>
      <c r="BA407" s="1222"/>
      <c r="BB407" s="1222"/>
      <c r="BC407" s="1222"/>
      <c r="BD407" s="1222"/>
      <c r="BE407" s="1222"/>
      <c r="BF407" s="1222"/>
      <c r="BG407" s="1222"/>
      <c r="BH407" s="1324"/>
      <c r="BI407" s="1326"/>
      <c r="BJ407" s="1303"/>
      <c r="BK407" s="452" t="str">
        <f>G406</f>
        <v/>
      </c>
    </row>
    <row r="408" spans="1:63" ht="15" customHeight="1">
      <c r="A408" s="1295"/>
      <c r="B408" s="1235"/>
      <c r="C408" s="1236"/>
      <c r="D408" s="1236"/>
      <c r="E408" s="1236"/>
      <c r="F408" s="1237"/>
      <c r="G408" s="1252"/>
      <c r="H408" s="1252"/>
      <c r="I408" s="1252"/>
      <c r="J408" s="1415"/>
      <c r="K408" s="1252"/>
      <c r="L408" s="1276"/>
      <c r="M408" s="1372"/>
      <c r="N408" s="1393"/>
      <c r="O408" s="1373" t="s">
        <v>2025</v>
      </c>
      <c r="P408" s="1375" t="str">
        <f>IFERROR(VLOOKUP('別紙様式2-2（４・５月分）'!AQ308,【参考】数式用!$AR$5:$AT$22,3,FALSE),"")</f>
        <v/>
      </c>
      <c r="Q408" s="1377" t="s">
        <v>2036</v>
      </c>
      <c r="R408" s="1379" t="str">
        <f>IFERROR(VLOOKUP(K406,【参考】数式用!$A$5:$AB$37,MATCH(P408,【参考】数式用!$B$4:$AB$4,0)+1,0),"")</f>
        <v/>
      </c>
      <c r="S408" s="1381" t="s">
        <v>161</v>
      </c>
      <c r="T408" s="1383"/>
      <c r="U408" s="1385" t="str">
        <f>IFERROR(VLOOKUP(K406,【参考】数式用!$A$5:$AB$37,MATCH(T408,【参考】数式用!$B$4:$AB$4,0)+1,0),"")</f>
        <v/>
      </c>
      <c r="V408" s="1387" t="s">
        <v>15</v>
      </c>
      <c r="W408" s="1389">
        <v>7</v>
      </c>
      <c r="X408" s="1363" t="s">
        <v>10</v>
      </c>
      <c r="Y408" s="1389">
        <v>4</v>
      </c>
      <c r="Z408" s="1363" t="s">
        <v>38</v>
      </c>
      <c r="AA408" s="1389">
        <v>8</v>
      </c>
      <c r="AB408" s="1363" t="s">
        <v>10</v>
      </c>
      <c r="AC408" s="1389">
        <v>3</v>
      </c>
      <c r="AD408" s="1363" t="s">
        <v>13</v>
      </c>
      <c r="AE408" s="1363" t="s">
        <v>20</v>
      </c>
      <c r="AF408" s="1363">
        <f>IF(W408&gt;=1,(AA408*12+AC408)-(W408*12+Y408)+1,"")</f>
        <v>12</v>
      </c>
      <c r="AG408" s="1359" t="s">
        <v>33</v>
      </c>
      <c r="AH408" s="1365" t="str">
        <f t="shared" ref="AH408" si="1081">IFERROR(ROUNDDOWN(ROUND(L406*U408,0),0)*AF408,"")</f>
        <v/>
      </c>
      <c r="AI408" s="1367" t="str">
        <f t="shared" ref="AI408" si="1082">IFERROR(ROUNDDOWN(ROUND((L406*(U408-AW406)),0),0)*AF408,"")</f>
        <v/>
      </c>
      <c r="AJ408" s="1369">
        <f>IFERROR(IF(OR(M406="",M407="",M409=""),0,ROUNDDOWN(ROUNDDOWN(ROUND(L406*VLOOKUP(K406,【参考】数式用!$A$5:$AB$37,MATCH("新加算Ⅳ",【参考】数式用!$B$4:$AB$4,0)+1,0),0),0)*AF408*0.5,0)),"")</f>
        <v>0</v>
      </c>
      <c r="AK408" s="1339" t="str">
        <f t="shared" ref="AK408" si="1083">IF(T408&lt;&gt;"","新規に適用","")</f>
        <v/>
      </c>
      <c r="AL408" s="1343">
        <f>IFERROR(IF(OR(M409="ベア加算",M409=""),0, IF(OR(T406="新加算Ⅰ",T406="新加算Ⅱ",T406="新加算Ⅲ",T406="新加算Ⅳ"),0,ROUNDDOWN(ROUND(L406*VLOOKUP(K406,【参考】数式用!$A$5:$I$37,MATCH("ベア加算",【参考】数式用!$B$4:$I$4,0)+1,0),0),0)*AF408)),"")</f>
        <v>0</v>
      </c>
      <c r="AM408" s="1313" t="str">
        <f>IF(AND(T408&lt;&gt;"",AM406=""),"新規に適用",IF(AND(T408&lt;&gt;"",AM406&lt;&gt;""),"継続で適用",""))</f>
        <v/>
      </c>
      <c r="AN408" s="1313" t="str">
        <f>IF(AND(T408&lt;&gt;"",AN406=""),"新規に適用",IF(AND(T408&lt;&gt;"",AN406&lt;&gt;""),"継続で適用",""))</f>
        <v/>
      </c>
      <c r="AO408" s="1361"/>
      <c r="AP408" s="1313" t="str">
        <f>IF(AND(T408&lt;&gt;"",AP406=""),"新規に適用",IF(AND(T408&lt;&gt;"",AP406&lt;&gt;""),"継続で適用",""))</f>
        <v/>
      </c>
      <c r="AQ408" s="1317" t="str">
        <f t="shared" si="951"/>
        <v/>
      </c>
      <c r="AR408" s="1313" t="str">
        <f>IF(AND(T408&lt;&gt;"",AR406=""),"新規に適用",IF(AND(T408&lt;&gt;"",AR406&lt;&gt;""),"継続で適用",""))</f>
        <v/>
      </c>
      <c r="AS408" s="1302"/>
      <c r="AT408" s="554"/>
      <c r="AU408" s="1303" t="str">
        <f>IF(K406&lt;&gt;"","V列に色付け","")</f>
        <v/>
      </c>
      <c r="AV408" s="1304"/>
      <c r="AW408" s="1305"/>
      <c r="AX408"/>
      <c r="AY408"/>
      <c r="AZ408"/>
      <c r="BA408"/>
      <c r="BB408"/>
      <c r="BC408"/>
      <c r="BD408"/>
      <c r="BE408"/>
      <c r="BF408"/>
      <c r="BG408"/>
      <c r="BH408"/>
      <c r="BI408"/>
      <c r="BJ408"/>
      <c r="BK408" s="452" t="str">
        <f>G406</f>
        <v/>
      </c>
    </row>
    <row r="409" spans="1:63" ht="30" customHeight="1" thickBot="1">
      <c r="A409" s="1268"/>
      <c r="B409" s="1411"/>
      <c r="C409" s="1412"/>
      <c r="D409" s="1412"/>
      <c r="E409" s="1412"/>
      <c r="F409" s="1413"/>
      <c r="G409" s="1253"/>
      <c r="H409" s="1253"/>
      <c r="I409" s="1253"/>
      <c r="J409" s="1416"/>
      <c r="K409" s="1253"/>
      <c r="L409" s="1277"/>
      <c r="M409" s="553" t="str">
        <f>IF('別紙様式2-2（４・５月分）'!P310="","",'別紙様式2-2（４・５月分）'!P310)</f>
        <v/>
      </c>
      <c r="N409" s="1394"/>
      <c r="O409" s="1374"/>
      <c r="P409" s="1376"/>
      <c r="Q409" s="1378"/>
      <c r="R409" s="1380"/>
      <c r="S409" s="1382"/>
      <c r="T409" s="1384"/>
      <c r="U409" s="1386"/>
      <c r="V409" s="1388"/>
      <c r="W409" s="1390"/>
      <c r="X409" s="1364"/>
      <c r="Y409" s="1390"/>
      <c r="Z409" s="1364"/>
      <c r="AA409" s="1390"/>
      <c r="AB409" s="1364"/>
      <c r="AC409" s="1390"/>
      <c r="AD409" s="1364"/>
      <c r="AE409" s="1364"/>
      <c r="AF409" s="1364"/>
      <c r="AG409" s="1360"/>
      <c r="AH409" s="1366"/>
      <c r="AI409" s="1368"/>
      <c r="AJ409" s="1370"/>
      <c r="AK409" s="1340"/>
      <c r="AL409" s="1344"/>
      <c r="AM409" s="1314"/>
      <c r="AN409" s="1314"/>
      <c r="AO409" s="1362"/>
      <c r="AP409" s="1314"/>
      <c r="AQ409" s="1318"/>
      <c r="AR409" s="1314"/>
      <c r="AS409" s="490"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4"/>
      <c r="AU409" s="1303"/>
      <c r="AV409" s="555" t="str">
        <f>IF('別紙様式2-2（４・５月分）'!N310="","",'別紙様式2-2（４・５月分）'!N310)</f>
        <v/>
      </c>
      <c r="AW409" s="1305"/>
      <c r="AX409"/>
      <c r="AY409"/>
      <c r="AZ409"/>
      <c r="BA409"/>
      <c r="BB409"/>
      <c r="BC409"/>
      <c r="BD409"/>
      <c r="BE409"/>
      <c r="BF409"/>
      <c r="BG409"/>
      <c r="BH409"/>
      <c r="BI409"/>
      <c r="BJ409"/>
      <c r="BK409" s="452" t="str">
        <f>G406</f>
        <v/>
      </c>
    </row>
    <row r="410" spans="1:63" ht="30" customHeight="1">
      <c r="A410" s="1293">
        <v>100</v>
      </c>
      <c r="B410" s="1232" t="str">
        <f>IF(基本情報入力シート!C153="","",基本情報入力シート!C153)</f>
        <v/>
      </c>
      <c r="C410" s="1233"/>
      <c r="D410" s="1233"/>
      <c r="E410" s="1233"/>
      <c r="F410" s="1234"/>
      <c r="G410" s="1251" t="str">
        <f>IF(基本情報入力シート!M153="","",基本情報入力シート!M153)</f>
        <v/>
      </c>
      <c r="H410" s="1251" t="str">
        <f>IF(基本情報入力シート!R153="","",基本情報入力シート!R153)</f>
        <v/>
      </c>
      <c r="I410" s="1251" t="str">
        <f>IF(基本情報入力シート!W153="","",基本情報入力シート!W153)</f>
        <v/>
      </c>
      <c r="J410" s="1414" t="str">
        <f>IF(基本情報入力シート!X153="","",基本情報入力シート!X153)</f>
        <v/>
      </c>
      <c r="K410" s="1251" t="str">
        <f>IF(基本情報入力シート!Y153="","",基本情報入力シート!Y153)</f>
        <v/>
      </c>
      <c r="L410" s="1275" t="str">
        <f>IF(基本情報入力シート!AB153="","",基本情報入力シート!AB153)</f>
        <v/>
      </c>
      <c r="M410" s="550" t="str">
        <f>IF('別紙様式2-2（４・５月分）'!P311="","",'別紙様式2-2（４・５月分）'!P311)</f>
        <v/>
      </c>
      <c r="N410" s="1391" t="str">
        <f>IF(SUM('別紙様式2-2（４・５月分）'!Q311:Q313)=0,"",SUM('別紙様式2-2（４・５月分）'!Q311:Q313))</f>
        <v/>
      </c>
      <c r="O410" s="1395" t="str">
        <f>IFERROR(VLOOKUP('別紙様式2-2（４・５月分）'!AQ311,【参考】数式用!$AR$5:$AS$22,2,FALSE),"")</f>
        <v/>
      </c>
      <c r="P410" s="1396"/>
      <c r="Q410" s="1397"/>
      <c r="R410" s="1401" t="str">
        <f>IFERROR(VLOOKUP(K410,【参考】数式用!$A$5:$AB$37,MATCH(O410,【参考】数式用!$B$4:$AB$4,0)+1,0),"")</f>
        <v/>
      </c>
      <c r="S410" s="1403" t="s">
        <v>2021</v>
      </c>
      <c r="T410" s="1405"/>
      <c r="U410" s="1407" t="str">
        <f>IFERROR(VLOOKUP(K410,【参考】数式用!$A$5:$AB$37,MATCH(T410,【参考】数式用!$B$4:$AB$4,0)+1,0),"")</f>
        <v/>
      </c>
      <c r="V410" s="1409" t="s">
        <v>15</v>
      </c>
      <c r="W410" s="1347">
        <v>6</v>
      </c>
      <c r="X410" s="1349" t="s">
        <v>10</v>
      </c>
      <c r="Y410" s="1347">
        <v>6</v>
      </c>
      <c r="Z410" s="1349" t="s">
        <v>38</v>
      </c>
      <c r="AA410" s="1347">
        <v>7</v>
      </c>
      <c r="AB410" s="1349" t="s">
        <v>10</v>
      </c>
      <c r="AC410" s="1347">
        <v>3</v>
      </c>
      <c r="AD410" s="1349" t="s">
        <v>13</v>
      </c>
      <c r="AE410" s="1349" t="s">
        <v>20</v>
      </c>
      <c r="AF410" s="1349">
        <f>IF(W410&gt;=1,(AA410*12+AC410)-(W410*12+Y410)+1,"")</f>
        <v>10</v>
      </c>
      <c r="AG410" s="1351" t="s">
        <v>33</v>
      </c>
      <c r="AH410" s="1353" t="str">
        <f t="shared" ref="AH410" si="1085">IFERROR(ROUNDDOWN(ROUND(L410*U410,0),0)*AF410,"")</f>
        <v/>
      </c>
      <c r="AI410" s="1355" t="str">
        <f t="shared" ref="AI410" si="1086">IFERROR(ROUNDDOWN(ROUND((L410*(U410-AW410)),0),0)*AF410,"")</f>
        <v/>
      </c>
      <c r="AJ410" s="1357">
        <f>IFERROR(IF(OR(M410="",M411="",M413=""),0,ROUNDDOWN(ROUNDDOWN(ROUND(L410*VLOOKUP(K410,【参考】数式用!$A$5:$AB$37,MATCH("新加算Ⅳ",【参考】数式用!$B$4:$AB$4,0)+1,0),0),0)*AF410*0.5,0)),"")</f>
        <v>0</v>
      </c>
      <c r="AK410" s="1341"/>
      <c r="AL410" s="1345">
        <f>IFERROR(IF(OR(M413="ベア加算",M413=""),0, IF(OR(T410="新加算Ⅰ",T410="新加算Ⅱ",T410="新加算Ⅲ",T410="新加算Ⅳ"),ROUNDDOWN(ROUND(L410*VLOOKUP(K410,【参考】数式用!$A$5:$I$37,MATCH("ベア加算",【参考】数式用!$B$4:$I$4,0)+1,0),0),0)*AF410,0)),"")</f>
        <v>0</v>
      </c>
      <c r="AM410" s="1331"/>
      <c r="AN410" s="1337"/>
      <c r="AO410" s="1333"/>
      <c r="AP410" s="1333"/>
      <c r="AQ410" s="1335"/>
      <c r="AR410" s="1315"/>
      <c r="AS410" s="465" t="str">
        <f t="shared" ref="AS410" si="1087">IF(AU410="","",IF(U410&lt;N410,"！加算の要件上は問題ありませんが、令和６年４・５月と比較して令和６年６月に加算率が下がる計画になっています。",""))</f>
        <v/>
      </c>
      <c r="AT410" s="554"/>
      <c r="AU410" s="1303" t="str">
        <f>IF(K410&lt;&gt;"","V列に色付け","")</f>
        <v/>
      </c>
      <c r="AV410" s="555" t="str">
        <f>IF('別紙様式2-2（４・５月分）'!N311="","",'別紙様式2-2（４・５月分）'!N311)</f>
        <v/>
      </c>
      <c r="AW410" s="1305" t="str">
        <f>IF(SUM('別紙様式2-2（４・５月分）'!O311:O313)=0,"",SUM('別紙様式2-2（４・５月分）'!O311:O313))</f>
        <v/>
      </c>
      <c r="AX410" s="1306" t="str">
        <f>IFERROR(VLOOKUP(K410,【参考】数式用!$AH$2:$AI$34,2,FALSE),"")</f>
        <v/>
      </c>
      <c r="AY410" s="1222" t="s">
        <v>1959</v>
      </c>
      <c r="AZ410" s="1222" t="s">
        <v>1960</v>
      </c>
      <c r="BA410" s="1222" t="s">
        <v>1961</v>
      </c>
      <c r="BB410" s="1222" t="s">
        <v>1962</v>
      </c>
      <c r="BC410" s="1222" t="str">
        <f>IF(AND(O410&lt;&gt;"新加算Ⅰ",O410&lt;&gt;"新加算Ⅱ",O410&lt;&gt;"新加算Ⅲ",O410&lt;&gt;"新加算Ⅳ"),O410,IF(P412&lt;&gt;"",P412,""))</f>
        <v/>
      </c>
      <c r="BD410" s="1222"/>
      <c r="BE410" s="1222" t="str">
        <f t="shared" si="1077"/>
        <v/>
      </c>
      <c r="BF410" s="1222"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2" t="str">
        <f>IF(OR(T410="新加算Ⅴ（７）",T410="新加算Ⅴ（９）",T410="新加算Ⅴ（10）",T410="新加算Ⅴ（12）",T410="新加算Ⅴ（13）",T410="新加算Ⅴ（14）"),IF(OR(AO410="○",AO410="令和６年度中に満たす"),"入力済","未入力"),"")</f>
        <v/>
      </c>
      <c r="BH410" s="1323" t="str">
        <f t="shared" ref="BH410" si="1088">IF(OR(T410="新加算Ⅰ",T410="新加算Ⅱ",T410="新加算Ⅲ",T410="新加算Ⅴ（１）",T410="新加算Ⅴ（３）",T410="新加算Ⅴ（８）"),IF(OR(AP410="○",AP410="令和６年度中に満たす"),"入力済","未入力"),"")</f>
        <v/>
      </c>
      <c r="BI410" s="1327" t="str">
        <f>IF(OR(T410="新加算Ⅰ",T410="新加算Ⅱ",T410="新加算Ⅴ（１）",T410="新加算Ⅴ（２）",T410="新加算Ⅴ（３）",T410="新加算Ⅴ（４）",T410="新加算Ⅴ（５）",T410="新加算Ⅴ（６）",T410="新加算Ⅴ（７）",T410="新加算Ⅴ（９）",T410="新加算Ⅴ（10）",T410="新加算Ⅴ（12）"),1,"")</f>
        <v/>
      </c>
      <c r="BJ410" s="1303" t="str">
        <f>IF(OR(T410="新加算Ⅰ",T410="新加算Ⅴ（１）",T410="新加算Ⅴ（２）",T410="新加算Ⅴ（５）",T410="新加算Ⅴ（７）",T410="新加算Ⅴ（10）"),IF(AR410="","未入力","入力済"),"")</f>
        <v/>
      </c>
      <c r="BK410" s="452" t="str">
        <f>G410</f>
        <v/>
      </c>
    </row>
    <row r="411" spans="1:63" ht="15" customHeight="1">
      <c r="A411" s="1267"/>
      <c r="B411" s="1235"/>
      <c r="C411" s="1236"/>
      <c r="D411" s="1236"/>
      <c r="E411" s="1236"/>
      <c r="F411" s="1237"/>
      <c r="G411" s="1252"/>
      <c r="H411" s="1252"/>
      <c r="I411" s="1252"/>
      <c r="J411" s="1415"/>
      <c r="K411" s="1252"/>
      <c r="L411" s="1276"/>
      <c r="M411" s="1371" t="str">
        <f>IF('別紙様式2-2（４・５月分）'!P312="","",'別紙様式2-2（４・５月分）'!P312)</f>
        <v/>
      </c>
      <c r="N411" s="1392"/>
      <c r="O411" s="1398"/>
      <c r="P411" s="1399"/>
      <c r="Q411" s="1400"/>
      <c r="R411" s="1402"/>
      <c r="S411" s="1404"/>
      <c r="T411" s="1406"/>
      <c r="U411" s="1408"/>
      <c r="V411" s="1410"/>
      <c r="W411" s="1348"/>
      <c r="X411" s="1350"/>
      <c r="Y411" s="1348"/>
      <c r="Z411" s="1350"/>
      <c r="AA411" s="1348"/>
      <c r="AB411" s="1350"/>
      <c r="AC411" s="1348"/>
      <c r="AD411" s="1350"/>
      <c r="AE411" s="1350"/>
      <c r="AF411" s="1350"/>
      <c r="AG411" s="1352"/>
      <c r="AH411" s="1354"/>
      <c r="AI411" s="1356"/>
      <c r="AJ411" s="1358"/>
      <c r="AK411" s="1342"/>
      <c r="AL411" s="1346"/>
      <c r="AM411" s="1332"/>
      <c r="AN411" s="1338"/>
      <c r="AO411" s="1334"/>
      <c r="AP411" s="1334"/>
      <c r="AQ411" s="1336"/>
      <c r="AR411" s="1316"/>
      <c r="AS411" s="1302"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4"/>
      <c r="AU411" s="1303"/>
      <c r="AV411" s="1304" t="str">
        <f>IF('別紙様式2-2（４・５月分）'!N312="","",'別紙様式2-2（４・５月分）'!N312)</f>
        <v/>
      </c>
      <c r="AW411" s="1305"/>
      <c r="AX411" s="1306"/>
      <c r="AY411" s="1222"/>
      <c r="AZ411" s="1222"/>
      <c r="BA411" s="1222"/>
      <c r="BB411" s="1222"/>
      <c r="BC411" s="1222"/>
      <c r="BD411" s="1222"/>
      <c r="BE411" s="1222"/>
      <c r="BF411" s="1222"/>
      <c r="BG411" s="1222"/>
      <c r="BH411" s="1324"/>
      <c r="BI411" s="1326"/>
      <c r="BJ411" s="1303"/>
      <c r="BK411" s="452" t="str">
        <f>G410</f>
        <v/>
      </c>
    </row>
    <row r="412" spans="1:63" ht="15" customHeight="1">
      <c r="A412" s="1295"/>
      <c r="B412" s="1235"/>
      <c r="C412" s="1236"/>
      <c r="D412" s="1236"/>
      <c r="E412" s="1236"/>
      <c r="F412" s="1237"/>
      <c r="G412" s="1252"/>
      <c r="H412" s="1252"/>
      <c r="I412" s="1252"/>
      <c r="J412" s="1415"/>
      <c r="K412" s="1252"/>
      <c r="L412" s="1276"/>
      <c r="M412" s="1372"/>
      <c r="N412" s="1393"/>
      <c r="O412" s="1373" t="s">
        <v>2025</v>
      </c>
      <c r="P412" s="1375" t="str">
        <f>IFERROR(VLOOKUP('別紙様式2-2（４・５月分）'!AQ311,【参考】数式用!$AR$5:$AT$22,3,FALSE),"")</f>
        <v/>
      </c>
      <c r="Q412" s="1377" t="s">
        <v>2036</v>
      </c>
      <c r="R412" s="1379" t="str">
        <f>IFERROR(VLOOKUP(K410,【参考】数式用!$A$5:$AB$37,MATCH(P412,【参考】数式用!$B$4:$AB$4,0)+1,0),"")</f>
        <v/>
      </c>
      <c r="S412" s="1381" t="s">
        <v>161</v>
      </c>
      <c r="T412" s="1383"/>
      <c r="U412" s="1385" t="str">
        <f>IFERROR(VLOOKUP(K410,【参考】数式用!$A$5:$AB$37,MATCH(T412,【参考】数式用!$B$4:$AB$4,0)+1,0),"")</f>
        <v/>
      </c>
      <c r="V412" s="1387" t="s">
        <v>15</v>
      </c>
      <c r="W412" s="1389">
        <v>7</v>
      </c>
      <c r="X412" s="1363" t="s">
        <v>10</v>
      </c>
      <c r="Y412" s="1389">
        <v>4</v>
      </c>
      <c r="Z412" s="1363" t="s">
        <v>38</v>
      </c>
      <c r="AA412" s="1389">
        <v>8</v>
      </c>
      <c r="AB412" s="1363" t="s">
        <v>10</v>
      </c>
      <c r="AC412" s="1389">
        <v>3</v>
      </c>
      <c r="AD412" s="1363" t="s">
        <v>13</v>
      </c>
      <c r="AE412" s="1363" t="s">
        <v>20</v>
      </c>
      <c r="AF412" s="1363">
        <f>IF(W412&gt;=1,(AA412*12+AC412)-(W412*12+Y412)+1,"")</f>
        <v>12</v>
      </c>
      <c r="AG412" s="1359" t="s">
        <v>33</v>
      </c>
      <c r="AH412" s="1365" t="str">
        <f>IFERROR(ROUNDDOWN(ROUND(L410*U412,0),0)*AF412,"")</f>
        <v/>
      </c>
      <c r="AI412" s="1367" t="str">
        <f t="shared" ref="AI412" si="1090">IFERROR(ROUNDDOWN(ROUND((L410*(U412-AW410)),0),0)*AF412,"")</f>
        <v/>
      </c>
      <c r="AJ412" s="1369">
        <f>IFERROR(IF(OR(M410="",M411="",M413=""),0,ROUNDDOWN(ROUNDDOWN(ROUND(L410*VLOOKUP(K410,【参考】数式用!$A$5:$AB$37,MATCH("新加算Ⅳ",【参考】数式用!$B$4:$AB$4,0)+1,0),0),0)*AF412*0.5,0)),"")</f>
        <v>0</v>
      </c>
      <c r="AK412" s="1339" t="str">
        <f t="shared" ref="AK412" si="1091">IF(T412&lt;&gt;"","新規に適用","")</f>
        <v/>
      </c>
      <c r="AL412" s="1343">
        <f>IFERROR(IF(OR(M413="ベア加算",M413=""),0, IF(OR(T410="新加算Ⅰ",T410="新加算Ⅱ",T410="新加算Ⅲ",T410="新加算Ⅳ"),0,ROUNDDOWN(ROUND(L410*VLOOKUP(K410,【参考】数式用!$A$5:$I$37,MATCH("ベア加算",【参考】数式用!$B$4:$I$4,0)+1,0),0),0)*AF412)),"")</f>
        <v>0</v>
      </c>
      <c r="AM412" s="1313" t="str">
        <f>IF(AND(T412&lt;&gt;"",AM410=""),"新規に適用",IF(AND(T412&lt;&gt;"",AM410&lt;&gt;""),"継続で適用",""))</f>
        <v/>
      </c>
      <c r="AN412" s="1313" t="str">
        <f>IF(AND(T412&lt;&gt;"",AN410=""),"新規に適用",IF(AND(T412&lt;&gt;"",AN410&lt;&gt;""),"継続で適用",""))</f>
        <v/>
      </c>
      <c r="AO412" s="1361"/>
      <c r="AP412" s="1313" t="str">
        <f>IF(AND(T412&lt;&gt;"",AP410=""),"新規に適用",IF(AND(T412&lt;&gt;"",AP410&lt;&gt;""),"継続で適用",""))</f>
        <v/>
      </c>
      <c r="AQ412" s="1317"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13" t="str">
        <f>IF(AND(T412&lt;&gt;"",AR410=""),"新規に適用",IF(AND(T412&lt;&gt;"",AR410&lt;&gt;""),"継続で適用",""))</f>
        <v/>
      </c>
      <c r="AS412" s="1302"/>
      <c r="AT412" s="554"/>
      <c r="AU412" s="1303" t="str">
        <f>IF(K410&lt;&gt;"","V列に色付け","")</f>
        <v/>
      </c>
      <c r="AV412" s="1304"/>
      <c r="AW412" s="1305"/>
      <c r="AX412"/>
      <c r="AY412"/>
      <c r="AZ412"/>
      <c r="BA412"/>
      <c r="BB412"/>
      <c r="BC412"/>
      <c r="BD412"/>
      <c r="BE412"/>
      <c r="BF412"/>
      <c r="BG412"/>
      <c r="BH412"/>
      <c r="BI412"/>
      <c r="BJ412"/>
      <c r="BK412" s="452" t="str">
        <f>G410</f>
        <v/>
      </c>
    </row>
    <row r="413" spans="1:63" ht="30" customHeight="1" thickBot="1">
      <c r="A413" s="1268"/>
      <c r="B413" s="1411"/>
      <c r="C413" s="1412"/>
      <c r="D413" s="1412"/>
      <c r="E413" s="1412"/>
      <c r="F413" s="1413"/>
      <c r="G413" s="1253"/>
      <c r="H413" s="1253"/>
      <c r="I413" s="1253"/>
      <c r="J413" s="1416"/>
      <c r="K413" s="1253"/>
      <c r="L413" s="1277"/>
      <c r="M413" s="553" t="str">
        <f>IF('別紙様式2-2（４・５月分）'!P313="","",'別紙様式2-2（４・５月分）'!P313)</f>
        <v/>
      </c>
      <c r="N413" s="1394"/>
      <c r="O413" s="1374"/>
      <c r="P413" s="1376"/>
      <c r="Q413" s="1378"/>
      <c r="R413" s="1380"/>
      <c r="S413" s="1382"/>
      <c r="T413" s="1384"/>
      <c r="U413" s="1386"/>
      <c r="V413" s="1388"/>
      <c r="W413" s="1390"/>
      <c r="X413" s="1364"/>
      <c r="Y413" s="1390"/>
      <c r="Z413" s="1364"/>
      <c r="AA413" s="1390"/>
      <c r="AB413" s="1364"/>
      <c r="AC413" s="1390"/>
      <c r="AD413" s="1364"/>
      <c r="AE413" s="1364"/>
      <c r="AF413" s="1364"/>
      <c r="AG413" s="1360"/>
      <c r="AH413" s="1366"/>
      <c r="AI413" s="1368"/>
      <c r="AJ413" s="1370"/>
      <c r="AK413" s="1340"/>
      <c r="AL413" s="1344"/>
      <c r="AM413" s="1314"/>
      <c r="AN413" s="1314"/>
      <c r="AO413" s="1362"/>
      <c r="AP413" s="1314"/>
      <c r="AQ413" s="1318"/>
      <c r="AR413" s="1314"/>
      <c r="AS413" s="490"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4"/>
      <c r="AU413" s="1303"/>
      <c r="AV413" s="555" t="str">
        <f>IF('別紙様式2-2（４・５月分）'!N313="","",'別紙様式2-2（４・５月分）'!N313)</f>
        <v/>
      </c>
      <c r="AW413" s="1305"/>
      <c r="AX413"/>
      <c r="AY413"/>
      <c r="AZ413"/>
      <c r="BA413"/>
      <c r="BB413"/>
      <c r="BC413"/>
      <c r="BD413"/>
      <c r="BE413"/>
      <c r="BF413"/>
      <c r="BG413"/>
      <c r="BH413"/>
      <c r="BI413"/>
      <c r="BJ413"/>
      <c r="BK413" s="452"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Q14:AQ413">
    <cfRule type="expression" dxfId="13"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conditionalFormatting sqref="AR14:AR413">
    <cfRule type="expression" dxfId="12" priority="18433">
      <formula>AND(S14="令和６年度の算定予定",OR(T14="新加算Ⅰ",T14="新加算Ⅴ（１）",T14="新加算Ⅴ（２）",T14="新加算Ⅴ（５）",T14="新加算Ⅴ（７）",T14="新加算Ⅴ（10）"))</formula>
    </cfRule>
  </conditionalFormatting>
  <conditionalFormatting sqref="AS11">
    <cfRule type="expression" dxfId="11" priority="89">
      <formula>$AQ$11&lt;&gt;"×"</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customWidth="1"/>
    <col min="2" max="6" width="2.625" style="426" customWidth="1"/>
    <col min="7" max="7" width="13.125" customWidth="1"/>
    <col min="8" max="8" width="8.5" customWidth="1"/>
    <col min="9" max="9" width="9.375" style="582" customWidth="1"/>
    <col min="10" max="10" width="14.5" customWidth="1"/>
    <col min="11" max="11" width="16.625" style="196" customWidth="1"/>
    <col min="12" max="12" width="14.5" style="507" customWidth="1"/>
    <col min="13" max="13" width="15" style="507" customWidth="1"/>
    <col min="14" max="14" width="5.875" style="507" customWidth="1"/>
    <col min="15" max="15" width="2.625" style="506" customWidth="1"/>
    <col min="16" max="16" width="15.125" style="506" customWidth="1"/>
    <col min="17" max="17" width="2.375" style="507" customWidth="1"/>
    <col min="18" max="18" width="7.375" style="507" customWidth="1"/>
    <col min="19" max="19" width="18" style="507" customWidth="1"/>
    <col min="20" max="20" width="15.125" style="506" customWidth="1"/>
    <col min="21" max="21" width="7" style="507" customWidth="1"/>
    <col min="22" max="22" width="4.625" style="196" customWidth="1"/>
    <col min="23" max="24" width="2.875" style="196" customWidth="1"/>
    <col min="25" max="25" width="3.625" style="196" customWidth="1"/>
    <col min="26" max="26" width="10" style="196" customWidth="1"/>
    <col min="27" max="28" width="2.875" style="196" customWidth="1"/>
    <col min="29" max="29" width="3.5" style="196" customWidth="1"/>
    <col min="30" max="31" width="2.875" style="196" customWidth="1"/>
    <col min="32" max="32" width="3.625" style="196" customWidth="1"/>
    <col min="33" max="33" width="6.125" style="196" customWidth="1"/>
    <col min="34" max="34" width="15.875" style="507" customWidth="1"/>
    <col min="35" max="36" width="14.375" style="507" customWidth="1"/>
    <col min="37" max="37" width="9.125" style="507" customWidth="1"/>
    <col min="38" max="38" width="14.375" style="507" customWidth="1"/>
    <col min="39" max="39" width="8.625" style="507" customWidth="1"/>
    <col min="40" max="40" width="11.375" customWidth="1"/>
    <col min="41" max="41" width="9.875" customWidth="1"/>
    <col min="42" max="42" width="11.125" style="343" customWidth="1"/>
    <col min="43" max="43" width="12" style="578" customWidth="1"/>
    <col min="44" max="44" width="21.375" style="343" customWidth="1"/>
    <col min="45" max="45" width="61" style="343" customWidth="1"/>
    <col min="46" max="46" width="8.375" style="343" customWidth="1"/>
    <col min="47" max="47" width="17.875" style="340" hidden="1" customWidth="1"/>
    <col min="48" max="48" width="10.875" style="340" hidden="1" customWidth="1"/>
    <col min="49" max="49" width="6.5" style="340" hidden="1" customWidth="1"/>
    <col min="50" max="50" width="19.625" style="340" hidden="1" customWidth="1"/>
    <col min="51" max="51" width="8.125" style="340" hidden="1" customWidth="1"/>
    <col min="52" max="54" width="7.375" style="340" hidden="1" customWidth="1"/>
    <col min="55" max="55" width="8.625" style="340" hidden="1" customWidth="1"/>
    <col min="56" max="56" width="8.375" style="493" hidden="1" customWidth="1"/>
    <col min="57" max="59" width="7.375" style="340" hidden="1" customWidth="1"/>
    <col min="60" max="62" width="6.625" customWidth="1"/>
  </cols>
  <sheetData>
    <row r="1" spans="1:59" ht="30" customHeight="1">
      <c r="A1" s="579" t="s">
        <v>2106</v>
      </c>
      <c r="B1" s="394"/>
      <c r="C1" s="394"/>
      <c r="D1" s="394"/>
      <c r="E1" s="394"/>
      <c r="F1" s="394"/>
      <c r="G1" s="86"/>
      <c r="H1" s="86"/>
      <c r="I1" s="580"/>
      <c r="J1" s="86"/>
      <c r="K1" s="85"/>
      <c r="L1" s="396"/>
      <c r="M1" s="509"/>
      <c r="N1" s="396"/>
      <c r="O1" s="508"/>
      <c r="P1" s="508"/>
      <c r="Q1" s="509"/>
      <c r="R1" s="396"/>
      <c r="S1" s="509"/>
      <c r="T1" s="508"/>
      <c r="U1" s="509"/>
      <c r="V1" s="194"/>
      <c r="W1" s="510"/>
      <c r="X1" s="510"/>
      <c r="Y1" s="510"/>
      <c r="Z1" s="510"/>
      <c r="AA1" s="510"/>
      <c r="AB1" s="510"/>
      <c r="AC1" s="510"/>
      <c r="AD1" s="510"/>
      <c r="AE1" s="510"/>
      <c r="AF1" s="510"/>
      <c r="AG1" s="510"/>
      <c r="AH1" s="511"/>
      <c r="AI1" s="509"/>
      <c r="AJ1" s="511"/>
      <c r="AK1" s="511"/>
      <c r="AL1" s="511"/>
      <c r="AM1" s="511"/>
      <c r="AN1" s="84"/>
      <c r="AO1" s="84"/>
      <c r="AP1" s="1310" t="s">
        <v>47</v>
      </c>
      <c r="AQ1" s="1311"/>
      <c r="AR1" s="513" t="str">
        <f>IF(基本情報入力シート!C33="","",基本情報入力シート!C33)</f>
        <v/>
      </c>
      <c r="AS1" s="514"/>
      <c r="AT1" s="514"/>
      <c r="AY1" s="493"/>
      <c r="BC1"/>
      <c r="BD1"/>
      <c r="BE1"/>
      <c r="BF1"/>
      <c r="BG1"/>
    </row>
    <row r="2" spans="1:59" ht="21" customHeight="1" thickBot="1">
      <c r="A2" s="86"/>
      <c r="B2" s="395"/>
      <c r="C2" s="395"/>
      <c r="D2" s="395"/>
      <c r="E2" s="395"/>
      <c r="F2" s="395"/>
      <c r="G2" s="396"/>
      <c r="H2" s="396"/>
      <c r="I2" s="581"/>
      <c r="J2" s="396"/>
      <c r="K2" s="85"/>
      <c r="L2" s="396"/>
      <c r="M2" s="396"/>
      <c r="N2" s="396"/>
      <c r="O2" s="508"/>
      <c r="P2" s="508"/>
      <c r="Q2" s="509"/>
      <c r="R2" s="396"/>
      <c r="T2" s="508"/>
      <c r="U2" s="509"/>
      <c r="V2" s="194"/>
      <c r="W2" s="194"/>
      <c r="X2" s="194"/>
      <c r="Y2" s="194"/>
      <c r="Z2" s="194"/>
      <c r="AA2" s="194"/>
      <c r="AB2" s="194"/>
      <c r="AC2" s="194"/>
      <c r="AD2" s="194"/>
      <c r="AE2" s="194"/>
      <c r="AF2" s="194"/>
      <c r="AG2" s="194"/>
      <c r="AH2" s="511"/>
      <c r="AI2" s="509"/>
      <c r="AJ2" s="509"/>
      <c r="AK2" s="509"/>
      <c r="AL2" s="509"/>
      <c r="AM2" s="509"/>
      <c r="AN2" s="84"/>
      <c r="AO2" s="84"/>
      <c r="AP2" s="434"/>
      <c r="AQ2" s="557"/>
      <c r="AR2" s="434"/>
      <c r="AS2" s="434"/>
      <c r="AT2" s="434"/>
      <c r="AU2" s="517"/>
      <c r="AV2" s="493"/>
      <c r="AW2" s="517"/>
      <c r="AY2" s="493"/>
      <c r="BC2"/>
      <c r="BD2"/>
      <c r="BE2"/>
      <c r="BF2"/>
      <c r="BG2"/>
    </row>
    <row r="3" spans="1:59" ht="27" customHeight="1" thickBot="1">
      <c r="A3" s="1289" t="s">
        <v>5</v>
      </c>
      <c r="B3" s="1289"/>
      <c r="C3" s="1290"/>
      <c r="D3" s="1286" t="str">
        <f>IF(基本情報入力シート!M38="","",基本情報入力シート!M38)</f>
        <v/>
      </c>
      <c r="E3" s="1287"/>
      <c r="F3" s="1287"/>
      <c r="G3" s="1287"/>
      <c r="H3" s="1287"/>
      <c r="I3" s="1287"/>
      <c r="J3" s="1288"/>
      <c r="K3" s="85"/>
      <c r="L3" s="413"/>
      <c r="N3" s="413"/>
      <c r="O3" s="518"/>
      <c r="P3" s="518"/>
      <c r="Q3" s="519"/>
      <c r="R3" s="413"/>
      <c r="S3" s="509"/>
      <c r="T3" s="508"/>
      <c r="U3" s="509"/>
      <c r="V3" s="194"/>
      <c r="W3" s="510"/>
      <c r="X3" s="510"/>
      <c r="Y3" s="510"/>
      <c r="Z3" s="510"/>
      <c r="AA3" s="510"/>
      <c r="AB3" s="510"/>
      <c r="AC3" s="510"/>
      <c r="AD3" s="510"/>
      <c r="AE3" s="510"/>
      <c r="AF3" s="510"/>
      <c r="AG3" s="510"/>
      <c r="AH3" s="511"/>
      <c r="AI3" s="509"/>
      <c r="AJ3" s="509"/>
      <c r="AK3" s="509"/>
      <c r="AL3" s="509"/>
      <c r="AM3" s="509"/>
      <c r="AN3" s="84"/>
      <c r="AO3" s="84"/>
      <c r="AP3" s="434"/>
      <c r="AQ3" s="557"/>
      <c r="AR3" s="434"/>
      <c r="AS3" s="434"/>
      <c r="AT3" s="434"/>
      <c r="AY3" s="493"/>
      <c r="BC3"/>
      <c r="BD3"/>
      <c r="BE3"/>
      <c r="BF3"/>
      <c r="BG3"/>
    </row>
    <row r="4" spans="1:59" ht="21" customHeight="1" thickBot="1">
      <c r="A4" s="406"/>
      <c r="B4" s="407"/>
      <c r="C4" s="407"/>
      <c r="D4" s="408"/>
      <c r="E4" s="408"/>
      <c r="F4" s="408"/>
      <c r="G4" s="409"/>
      <c r="H4" s="409"/>
      <c r="I4" s="409"/>
      <c r="J4" s="409"/>
      <c r="K4" s="409"/>
      <c r="L4" s="413"/>
      <c r="M4" s="413"/>
      <c r="N4" s="413"/>
      <c r="O4" s="518"/>
      <c r="P4" s="508"/>
      <c r="Q4" s="526"/>
      <c r="R4" s="413"/>
      <c r="S4" s="509"/>
      <c r="T4" s="508"/>
      <c r="U4" s="509"/>
      <c r="V4" s="194"/>
      <c r="W4" s="510"/>
      <c r="X4" s="510"/>
      <c r="Y4" s="510"/>
      <c r="Z4" s="510"/>
      <c r="AA4" s="510"/>
      <c r="AB4" s="510"/>
      <c r="AC4" s="510"/>
      <c r="AD4" s="510"/>
      <c r="AE4" s="510"/>
      <c r="AF4" s="510"/>
      <c r="AG4" s="510"/>
      <c r="AH4" s="541"/>
      <c r="AI4" s="509"/>
      <c r="AJ4" s="509"/>
      <c r="AK4" s="509"/>
      <c r="AL4" s="509"/>
      <c r="AM4" s="509"/>
      <c r="AN4" s="84"/>
      <c r="AO4" s="84"/>
      <c r="AP4" s="434"/>
      <c r="AQ4" s="557"/>
      <c r="AR4" s="434"/>
      <c r="AS4" s="434"/>
      <c r="AT4" s="434"/>
      <c r="BC4"/>
      <c r="BD4"/>
      <c r="BE4"/>
      <c r="BF4"/>
      <c r="BG4"/>
    </row>
    <row r="5" spans="1:59" ht="35.25" customHeight="1" thickBot="1">
      <c r="A5" s="1246" t="s">
        <v>2226</v>
      </c>
      <c r="B5" s="1550"/>
      <c r="C5" s="1550"/>
      <c r="D5" s="1550"/>
      <c r="E5" s="1550"/>
      <c r="F5" s="1550"/>
      <c r="G5" s="1550"/>
      <c r="H5" s="1550"/>
      <c r="I5" s="1550"/>
      <c r="J5" s="1550"/>
      <c r="K5" s="1551"/>
      <c r="L5" s="520">
        <f>IFERROR(SUMIF(S:S, "区分変更後の算定予定", AH:AH),"")</f>
        <v>0</v>
      </c>
      <c r="M5" s="558" t="s">
        <v>1</v>
      </c>
      <c r="N5" s="413"/>
      <c r="O5" s="518"/>
      <c r="P5" s="508"/>
      <c r="Q5" s="526"/>
      <c r="R5" s="413"/>
      <c r="S5" s="509"/>
      <c r="T5" s="508"/>
      <c r="U5" s="509"/>
      <c r="V5" s="194"/>
      <c r="W5" s="510"/>
      <c r="X5" s="510"/>
      <c r="Y5" s="510"/>
      <c r="Z5" s="510"/>
      <c r="AA5" s="510"/>
      <c r="AB5" s="510"/>
      <c r="AC5" s="510"/>
      <c r="AD5" s="510"/>
      <c r="AE5" s="510"/>
      <c r="AF5" s="510"/>
      <c r="AG5" s="510"/>
      <c r="AH5" s="541"/>
      <c r="AI5" s="509"/>
      <c r="AJ5" s="526" t="s">
        <v>2107</v>
      </c>
      <c r="AK5" s="509"/>
      <c r="AL5" s="509"/>
      <c r="AM5" s="509"/>
      <c r="AN5" s="84"/>
      <c r="AO5" s="421"/>
      <c r="AP5" s="421"/>
      <c r="AQ5" s="529"/>
      <c r="AR5" s="421"/>
      <c r="AS5" s="421"/>
      <c r="AT5" s="421"/>
      <c r="AU5" s="540"/>
      <c r="AX5" s="540"/>
      <c r="AY5" s="540"/>
      <c r="AZ5" s="540"/>
      <c r="BA5" s="540"/>
      <c r="BB5" s="540"/>
      <c r="BC5" s="540"/>
      <c r="BD5" s="540"/>
      <c r="BE5" s="540"/>
      <c r="BF5" s="540"/>
      <c r="BG5" s="540"/>
    </row>
    <row r="6" spans="1:59" ht="35.25" customHeight="1">
      <c r="A6" s="524"/>
      <c r="B6" s="1462" t="s">
        <v>2220</v>
      </c>
      <c r="C6" s="1296"/>
      <c r="D6" s="1296"/>
      <c r="E6" s="1296"/>
      <c r="F6" s="1296"/>
      <c r="G6" s="1296"/>
      <c r="H6" s="1296"/>
      <c r="I6" s="1296"/>
      <c r="J6" s="1296"/>
      <c r="K6" s="1297"/>
      <c r="L6" s="525">
        <f>IFERROR(SUMIF(S:S, "区分変更後の算定予定", AJ:AJ),"")</f>
        <v>0</v>
      </c>
      <c r="M6" s="558" t="s">
        <v>1</v>
      </c>
      <c r="N6" s="396"/>
      <c r="O6" s="508"/>
      <c r="P6" s="508"/>
      <c r="Q6" s="526"/>
      <c r="R6" s="413"/>
      <c r="S6" s="509"/>
      <c r="T6" s="508"/>
      <c r="U6" s="509"/>
      <c r="V6" s="194"/>
      <c r="W6" s="510"/>
      <c r="X6" s="510"/>
      <c r="Y6" s="510"/>
      <c r="Z6" s="510"/>
      <c r="AA6" s="510"/>
      <c r="AB6" s="510"/>
      <c r="AC6" s="510"/>
      <c r="AD6" s="510"/>
      <c r="AE6" s="510"/>
      <c r="AF6" s="510"/>
      <c r="AG6" s="510"/>
      <c r="AH6" s="541"/>
      <c r="AI6" s="509"/>
      <c r="AJ6" s="1320" t="s">
        <v>1969</v>
      </c>
      <c r="AK6" s="1321"/>
      <c r="AL6" s="1321"/>
      <c r="AM6" s="1321"/>
      <c r="AN6" s="1321"/>
      <c r="AO6" s="1321"/>
      <c r="AP6" s="1322"/>
      <c r="AQ6" s="559">
        <f>SUMIF(S:S,"区分変更後の算定予定",AQ:AQ)</f>
        <v>0</v>
      </c>
      <c r="AR6" s="434"/>
      <c r="AS6" s="421"/>
      <c r="AT6" s="421"/>
      <c r="AU6" s="1486" t="s">
        <v>2108</v>
      </c>
      <c r="AV6" s="1487"/>
      <c r="AX6" s="540"/>
      <c r="AY6" s="540"/>
      <c r="AZ6" s="540"/>
      <c r="BA6" s="540"/>
      <c r="BB6" s="540"/>
      <c r="BC6" s="540"/>
      <c r="BD6" s="540"/>
      <c r="BE6" s="540"/>
      <c r="BF6" s="540"/>
      <c r="BG6" s="540"/>
    </row>
    <row r="7" spans="1:59" ht="35.25" customHeight="1" thickBot="1">
      <c r="A7" s="524"/>
      <c r="B7" s="1462" t="s">
        <v>2175</v>
      </c>
      <c r="C7" s="1296"/>
      <c r="D7" s="1296"/>
      <c r="E7" s="1296"/>
      <c r="F7" s="1296"/>
      <c r="G7" s="1296"/>
      <c r="H7" s="1296"/>
      <c r="I7" s="1296"/>
      <c r="J7" s="1296"/>
      <c r="K7" s="1297"/>
      <c r="L7" s="525">
        <f>IFERROR(SUMIF(S:S, "区分変更後の算定予定", AL:AL),"")</f>
        <v>0</v>
      </c>
      <c r="M7" s="558" t="s">
        <v>1</v>
      </c>
      <c r="N7" s="509"/>
      <c r="O7" s="508"/>
      <c r="P7" s="508"/>
      <c r="Q7" s="526"/>
      <c r="R7" s="413"/>
      <c r="S7" s="509"/>
      <c r="T7" s="508"/>
      <c r="U7" s="509"/>
      <c r="V7" s="194"/>
      <c r="W7" s="510"/>
      <c r="X7" s="510"/>
      <c r="Y7" s="510"/>
      <c r="Z7" s="510"/>
      <c r="AA7" s="510"/>
      <c r="AB7" s="510"/>
      <c r="AC7" s="510"/>
      <c r="AD7" s="510"/>
      <c r="AE7" s="510"/>
      <c r="AF7" s="510"/>
      <c r="AG7" s="194"/>
      <c r="AH7" s="536"/>
      <c r="AI7" s="509"/>
      <c r="AJ7" s="1320" t="s">
        <v>2229</v>
      </c>
      <c r="AK7" s="1321"/>
      <c r="AL7" s="1321"/>
      <c r="AM7" s="1321"/>
      <c r="AN7" s="1321"/>
      <c r="AO7" s="1321"/>
      <c r="AP7" s="1322"/>
      <c r="AQ7" s="560">
        <f>SUM(BC:BC)</f>
        <v>0</v>
      </c>
      <c r="AR7" s="434"/>
      <c r="AS7" s="421"/>
      <c r="AT7" s="434"/>
      <c r="AU7" s="1490"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1"/>
      <c r="AW7" s="1488"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89"/>
      <c r="AY7" s="1492" t="str">
        <f>IF((COUNTIFS(S:S,"区分変更後の算定予定",T:T,"新加算Ⅰ")+COUNTIFS(S:S,"区分変更後の算定予定",T:T,"新加算Ⅱ"))&gt;=1,"旧特定加算相当あり","旧特定加算相当なし")</f>
        <v>旧特定加算相当なし</v>
      </c>
      <c r="AZ7" s="1492"/>
      <c r="BA7" s="1492"/>
      <c r="BB7" s="1488" t="str">
        <f>IF((COUNTIFS(S:S,"区分変更後の算定予定",T:T,"新加算Ⅰ"))&gt;=1,"旧特定加算Ⅰ相当あり","旧特定加算Ⅰ相当なし")</f>
        <v>旧特定加算Ⅰ相当なし</v>
      </c>
      <c r="BC7" s="1493"/>
      <c r="BD7" s="1489"/>
      <c r="BG7"/>
    </row>
    <row r="8" spans="1:59" ht="35.25" customHeight="1" thickBot="1">
      <c r="A8" s="532"/>
      <c r="B8" s="1462" t="s">
        <v>2176</v>
      </c>
      <c r="C8" s="1296"/>
      <c r="D8" s="1296"/>
      <c r="E8" s="1296"/>
      <c r="F8" s="1296"/>
      <c r="G8" s="1296"/>
      <c r="H8" s="1296"/>
      <c r="I8" s="1296"/>
      <c r="J8" s="1296"/>
      <c r="K8" s="1297"/>
      <c r="L8" s="561">
        <f>IFERROR(SUMIF(S:S, "区分変更後の算定予定", AI:AI),"")</f>
        <v>0</v>
      </c>
      <c r="M8" s="558" t="s">
        <v>1</v>
      </c>
      <c r="N8" s="509"/>
      <c r="O8" s="508"/>
      <c r="P8" s="431"/>
      <c r="Q8" s="432"/>
      <c r="R8" s="432"/>
      <c r="S8" s="534"/>
      <c r="T8" s="535"/>
      <c r="U8" s="509"/>
      <c r="V8" s="194"/>
      <c r="W8" s="194"/>
      <c r="X8" s="194"/>
      <c r="Y8" s="510"/>
      <c r="Z8" s="194"/>
      <c r="AA8" s="194"/>
      <c r="AB8" s="194"/>
      <c r="AC8" s="194"/>
      <c r="AD8" s="194"/>
      <c r="AE8" s="194"/>
      <c r="AF8" s="194"/>
      <c r="AG8" s="194"/>
      <c r="AH8" s="536"/>
      <c r="AI8" s="509"/>
      <c r="AJ8" s="509"/>
      <c r="AK8" s="509"/>
      <c r="AL8" s="509"/>
      <c r="AM8" s="509"/>
      <c r="AN8" s="84"/>
      <c r="AO8" s="84"/>
      <c r="AP8" s="434"/>
      <c r="AQ8" s="557"/>
      <c r="AR8" s="434"/>
      <c r="AS8" s="434"/>
      <c r="AT8" s="434"/>
    </row>
    <row r="9" spans="1:59" ht="35.25" customHeight="1">
      <c r="A9" s="1264" t="s">
        <v>2179</v>
      </c>
      <c r="B9" s="1264"/>
      <c r="C9" s="1264"/>
      <c r="D9" s="1264"/>
      <c r="E9" s="1264"/>
      <c r="F9" s="1264"/>
      <c r="G9" s="1264"/>
      <c r="H9" s="1264"/>
      <c r="I9" s="1264"/>
      <c r="J9" s="1264"/>
      <c r="K9" s="1264"/>
      <c r="L9" s="1264"/>
      <c r="M9" s="509"/>
      <c r="N9" s="509"/>
      <c r="O9" s="508"/>
      <c r="P9" s="431"/>
      <c r="Q9" s="432"/>
      <c r="R9" s="432"/>
      <c r="S9" s="534"/>
      <c r="T9" s="535"/>
      <c r="U9" s="509"/>
      <c r="V9" s="194"/>
      <c r="W9" s="194"/>
      <c r="X9" s="194"/>
      <c r="Y9" s="510"/>
      <c r="Z9" s="194"/>
      <c r="AA9" s="194"/>
      <c r="AB9" s="194"/>
      <c r="AC9" s="194"/>
      <c r="AD9" s="194"/>
      <c r="AE9" s="194"/>
      <c r="AF9" s="194"/>
      <c r="AG9" s="194"/>
      <c r="AH9" s="536"/>
      <c r="AI9" s="509"/>
      <c r="AJ9" s="509"/>
      <c r="AK9" s="509"/>
      <c r="AL9" s="562"/>
      <c r="AM9" s="509"/>
      <c r="AN9" s="84"/>
      <c r="AO9" s="84"/>
      <c r="AP9" s="434"/>
      <c r="AQ9" s="522"/>
      <c r="AR9" s="434"/>
      <c r="AS9" s="434"/>
      <c r="AT9" s="434"/>
      <c r="BD9" s="340"/>
    </row>
    <row r="10" spans="1:59" ht="15.75" customHeight="1" thickBot="1">
      <c r="A10" s="1264"/>
      <c r="B10" s="1264"/>
      <c r="C10" s="1264"/>
      <c r="D10" s="1264"/>
      <c r="E10" s="1264"/>
      <c r="F10" s="1264"/>
      <c r="G10" s="1264"/>
      <c r="H10" s="1264"/>
      <c r="I10" s="1264"/>
      <c r="J10" s="1264"/>
      <c r="K10" s="1264"/>
      <c r="L10" s="1264"/>
      <c r="M10" s="509"/>
      <c r="N10" s="509"/>
      <c r="O10" s="508"/>
      <c r="P10" s="431"/>
      <c r="Q10" s="432"/>
      <c r="R10" s="432"/>
      <c r="S10" s="534"/>
      <c r="T10" s="535"/>
      <c r="U10" s="509"/>
      <c r="V10" s="194"/>
      <c r="W10" s="194"/>
      <c r="X10" s="194"/>
      <c r="Y10" s="510"/>
      <c r="Z10" s="194"/>
      <c r="AA10" s="194"/>
      <c r="AB10" s="194"/>
      <c r="AC10" s="194"/>
      <c r="AD10" s="194"/>
      <c r="AE10" s="194"/>
      <c r="AF10" s="194"/>
      <c r="AG10" s="194"/>
      <c r="AH10" s="536"/>
      <c r="AI10" s="509"/>
      <c r="AJ10" s="509"/>
      <c r="AK10" s="509"/>
      <c r="AL10" s="562"/>
      <c r="AM10" s="509"/>
      <c r="AN10" s="84"/>
      <c r="AO10" s="84"/>
      <c r="AP10" s="434"/>
      <c r="AQ10" s="522"/>
      <c r="AR10" s="434"/>
      <c r="AS10" s="434"/>
      <c r="AT10" s="434"/>
      <c r="BD10" s="340"/>
    </row>
    <row r="11" spans="1:59" ht="32.25" customHeight="1" thickBot="1">
      <c r="A11" s="1265"/>
      <c r="B11" s="1265"/>
      <c r="C11" s="1265"/>
      <c r="D11" s="1265"/>
      <c r="E11" s="1265"/>
      <c r="F11" s="1265"/>
      <c r="G11" s="1265"/>
      <c r="H11" s="1265"/>
      <c r="I11" s="1265"/>
      <c r="J11" s="1265"/>
      <c r="K11" s="1265"/>
      <c r="L11" s="1265"/>
      <c r="M11" s="396"/>
      <c r="N11" s="396"/>
      <c r="O11" s="508"/>
      <c r="P11" s="508"/>
      <c r="Q11" s="509"/>
      <c r="R11" s="396"/>
      <c r="S11" s="509"/>
      <c r="T11" s="508"/>
      <c r="U11" s="509"/>
      <c r="V11" s="194"/>
      <c r="W11" s="510"/>
      <c r="X11" s="510"/>
      <c r="Y11" s="510"/>
      <c r="Z11" s="510"/>
      <c r="AA11" s="510"/>
      <c r="AB11" s="510"/>
      <c r="AC11" s="510"/>
      <c r="AD11" s="510"/>
      <c r="AE11" s="510"/>
      <c r="AF11" s="510"/>
      <c r="AG11" s="510"/>
      <c r="AH11" s="541"/>
      <c r="AI11" s="509"/>
      <c r="AJ11" s="509"/>
      <c r="AK11" s="509"/>
      <c r="AL11" s="1328" t="str">
        <f>IFERROR(IF(COUNTIF(AY:AY,"未入力")=0,"○","未入力あり"),"")</f>
        <v>○</v>
      </c>
      <c r="AM11" s="1329"/>
      <c r="AN11" s="542" t="str">
        <f>IFERROR(IF(COUNTIF(AZ:AZ,"未入力")=0,"○","未入力あり"),"")</f>
        <v>○</v>
      </c>
      <c r="AO11" s="542" t="str">
        <f>IFERROR(IF(COUNTIF(BA:BA,"未入力")=0,"○","未入力あり"),"")</f>
        <v>○</v>
      </c>
      <c r="AP11" s="542" t="str">
        <f>IFERROR(IF(COUNTIF(BB:BB,"未入力")=0,"○","未入力あり"),"")</f>
        <v>○</v>
      </c>
      <c r="AQ11" s="563" t="str">
        <f>IF(AY7="旧特定加算相当なし","",IF(AQ6&gt;=AQ7,"○","×"))</f>
        <v/>
      </c>
      <c r="AR11" s="542" t="str">
        <f>IF(BB7="旧特定加算Ⅰ相当なし","",IF(COUNTIF(BD:BD,"未入力")=0,"○","未入力あり"))</f>
        <v/>
      </c>
      <c r="AS11" s="545" t="s">
        <v>2051</v>
      </c>
      <c r="AT11" s="434"/>
      <c r="AX11"/>
      <c r="AY11"/>
      <c r="AZ11"/>
      <c r="BA11"/>
      <c r="BB11"/>
      <c r="BC11"/>
      <c r="BD11"/>
      <c r="BE11"/>
      <c r="BF11"/>
      <c r="BG11"/>
    </row>
    <row r="12" spans="1:59" ht="59.25" customHeight="1">
      <c r="A12" s="1291"/>
      <c r="B12" s="1254" t="s">
        <v>2214</v>
      </c>
      <c r="C12" s="1255"/>
      <c r="D12" s="1255"/>
      <c r="E12" s="1255"/>
      <c r="F12" s="1256"/>
      <c r="G12" s="1260" t="s">
        <v>55</v>
      </c>
      <c r="H12" s="1282" t="s">
        <v>79</v>
      </c>
      <c r="I12" s="1282"/>
      <c r="J12" s="1262" t="s">
        <v>60</v>
      </c>
      <c r="K12" s="1278" t="s">
        <v>35</v>
      </c>
      <c r="L12" s="1280" t="s">
        <v>2221</v>
      </c>
      <c r="M12" s="1223" t="s">
        <v>2110</v>
      </c>
      <c r="N12" s="1224" t="s">
        <v>2017</v>
      </c>
      <c r="O12" s="1444" t="s">
        <v>2153</v>
      </c>
      <c r="P12" s="1445"/>
      <c r="Q12" s="1446"/>
      <c r="R12" s="1455" t="s">
        <v>1970</v>
      </c>
      <c r="S12" s="1467" t="s">
        <v>2018</v>
      </c>
      <c r="T12" s="1468"/>
      <c r="U12" s="1224" t="s">
        <v>2216</v>
      </c>
      <c r="V12" s="1430" t="s">
        <v>2227</v>
      </c>
      <c r="W12" s="1439"/>
      <c r="X12" s="1439"/>
      <c r="Y12" s="1439"/>
      <c r="Z12" s="1439"/>
      <c r="AA12" s="1439"/>
      <c r="AB12" s="1439"/>
      <c r="AC12" s="1439"/>
      <c r="AD12" s="1439"/>
      <c r="AE12" s="1439"/>
      <c r="AF12" s="1439"/>
      <c r="AG12" s="1440"/>
      <c r="AH12" s="1430" t="s">
        <v>2223</v>
      </c>
      <c r="AI12" s="1534" t="s">
        <v>2150</v>
      </c>
      <c r="AJ12" s="1536" t="s">
        <v>2040</v>
      </c>
      <c r="AK12" s="1229"/>
      <c r="AL12" s="1330" t="s">
        <v>2023</v>
      </c>
      <c r="AM12" s="1229"/>
      <c r="AN12" s="1228" t="s">
        <v>170</v>
      </c>
      <c r="AO12" s="1229"/>
      <c r="AP12" s="440" t="s">
        <v>164</v>
      </c>
      <c r="AQ12" s="440" t="s">
        <v>168</v>
      </c>
      <c r="AR12" s="441" t="s">
        <v>169</v>
      </c>
      <c r="AS12" s="1471" t="s">
        <v>2147</v>
      </c>
      <c r="AT12" s="564"/>
      <c r="AU12" s="416"/>
      <c r="BE12" s="1544" t="s">
        <v>2170</v>
      </c>
      <c r="BF12" s="1545"/>
      <c r="BG12" s="1546"/>
    </row>
    <row r="13" spans="1:59" ht="132.75" customHeight="1" thickBot="1">
      <c r="A13" s="1292"/>
      <c r="B13" s="1257"/>
      <c r="C13" s="1258"/>
      <c r="D13" s="1258"/>
      <c r="E13" s="1258"/>
      <c r="F13" s="1259"/>
      <c r="G13" s="1261"/>
      <c r="H13" s="442" t="s">
        <v>2148</v>
      </c>
      <c r="I13" s="442" t="s">
        <v>2149</v>
      </c>
      <c r="J13" s="1263"/>
      <c r="K13" s="1279"/>
      <c r="L13" s="1281"/>
      <c r="M13" s="1450"/>
      <c r="N13" s="1438"/>
      <c r="O13" s="1447"/>
      <c r="P13" s="1448"/>
      <c r="Q13" s="1449"/>
      <c r="R13" s="1456"/>
      <c r="S13" s="1469"/>
      <c r="T13" s="1470"/>
      <c r="U13" s="1538"/>
      <c r="V13" s="1539"/>
      <c r="W13" s="959"/>
      <c r="X13" s="959"/>
      <c r="Y13" s="959"/>
      <c r="Z13" s="959"/>
      <c r="AA13" s="959"/>
      <c r="AB13" s="959"/>
      <c r="AC13" s="959"/>
      <c r="AD13" s="959"/>
      <c r="AE13" s="959"/>
      <c r="AF13" s="959"/>
      <c r="AG13" s="1540"/>
      <c r="AH13" s="1541"/>
      <c r="AI13" s="1535"/>
      <c r="AJ13" s="565" t="s">
        <v>2167</v>
      </c>
      <c r="AK13" s="566" t="s">
        <v>2037</v>
      </c>
      <c r="AL13" s="566" t="s">
        <v>2022</v>
      </c>
      <c r="AM13" s="567" t="s">
        <v>2038</v>
      </c>
      <c r="AN13" s="567" t="s">
        <v>2151</v>
      </c>
      <c r="AO13" s="566" t="s">
        <v>2152</v>
      </c>
      <c r="AP13" s="568" t="s">
        <v>163</v>
      </c>
      <c r="AQ13" s="449" t="s">
        <v>2157</v>
      </c>
      <c r="AR13" s="569" t="s">
        <v>2264</v>
      </c>
      <c r="AS13" s="1299"/>
      <c r="AT13" s="564"/>
      <c r="AU13" s="452" t="s">
        <v>2033</v>
      </c>
      <c r="AV13" s="548" t="s">
        <v>2060</v>
      </c>
      <c r="AW13" s="548" t="s">
        <v>2061</v>
      </c>
      <c r="AX13" s="452" t="s">
        <v>2027</v>
      </c>
      <c r="AY13" s="452" t="s">
        <v>2041</v>
      </c>
      <c r="AZ13" s="452" t="s">
        <v>2028</v>
      </c>
      <c r="BA13" s="452" t="s">
        <v>2029</v>
      </c>
      <c r="BB13" s="452" t="s">
        <v>2030</v>
      </c>
      <c r="BC13" s="455" t="s">
        <v>2031</v>
      </c>
      <c r="BD13" s="455" t="s">
        <v>2032</v>
      </c>
      <c r="BE13" s="1547"/>
      <c r="BF13" s="1548"/>
      <c r="BG13" s="1549"/>
    </row>
    <row r="14" spans="1:59" ht="30" customHeight="1">
      <c r="A14" s="1266">
        <v>1</v>
      </c>
      <c r="B14" s="1232" t="str">
        <f>IF(基本情報入力シート!C54="","",基本情報入力シート!C54)</f>
        <v/>
      </c>
      <c r="C14" s="1233"/>
      <c r="D14" s="1233"/>
      <c r="E14" s="1233"/>
      <c r="F14" s="1234"/>
      <c r="G14" s="1251" t="str">
        <f>IF(基本情報入力シート!M54="","",基本情報入力シート!M54)</f>
        <v/>
      </c>
      <c r="H14" s="1251" t="str">
        <f>IF(基本情報入力シート!R54="","",基本情報入力シート!R54)</f>
        <v/>
      </c>
      <c r="I14" s="1251" t="str">
        <f>IF(基本情報入力シート!W54="","",基本情報入力シート!W54)</f>
        <v/>
      </c>
      <c r="J14" s="1414" t="str">
        <f>IF(基本情報入力シート!X54="","",基本情報入力シート!X54)</f>
        <v/>
      </c>
      <c r="K14" s="1251" t="str">
        <f>IF(基本情報入力シート!Y54="","",基本情報入力シート!Y54)</f>
        <v/>
      </c>
      <c r="L14" s="1427" t="str">
        <f>IF(基本情報入力シート!AB54="","",基本情報入力シート!AB54)</f>
        <v/>
      </c>
      <c r="M14" s="550" t="str">
        <f>IF('別紙様式2-2（４・５月分）'!P14="","",'別紙様式2-2（４・５月分）'!P14)</f>
        <v/>
      </c>
      <c r="N14" s="1391" t="str">
        <f>IF(SUM('別紙様式2-2（４・５月分）'!Q14:Q16)=0,"",SUM('別紙様式2-2（４・５月分）'!Q14:Q16))</f>
        <v/>
      </c>
      <c r="O14" s="1395" t="str">
        <f>IFERROR(VLOOKUP('別紙様式2-2（４・５月分）'!AQ14,【参考】数式用!$AR$5:$AS$22,2,FALSE),"")</f>
        <v/>
      </c>
      <c r="P14" s="1396"/>
      <c r="Q14" s="1397"/>
      <c r="R14" s="1531" t="str">
        <f>IFERROR(VLOOKUP(K14,【参考】数式用!$A$5:$AB$37,MATCH(O14,【参考】数式用!$B$4:$AB$4,0)+1,0),"")</f>
        <v/>
      </c>
      <c r="S14" s="1403" t="s">
        <v>2039</v>
      </c>
      <c r="T14" s="1527" t="str">
        <f>IF('別紙様式2-3（６月以降分）'!T14="","",'別紙様式2-3（６月以降分）'!T14)</f>
        <v/>
      </c>
      <c r="U14" s="1529" t="str">
        <f>IFERROR(VLOOKUP(K14,【参考】数式用!$A$5:$AB$37,MATCH(T14,【参考】数式用!$B$4:$AB$4,0)+1,0),"")</f>
        <v/>
      </c>
      <c r="V14" s="1409" t="s">
        <v>15</v>
      </c>
      <c r="W14" s="1525">
        <f>'別紙様式2-3（６月以降分）'!W14</f>
        <v>6</v>
      </c>
      <c r="X14" s="1349" t="s">
        <v>10</v>
      </c>
      <c r="Y14" s="1525">
        <f>'別紙様式2-3（６月以降分）'!Y14</f>
        <v>6</v>
      </c>
      <c r="Z14" s="1349" t="s">
        <v>38</v>
      </c>
      <c r="AA14" s="1525">
        <f>'別紙様式2-3（６月以降分）'!AA14</f>
        <v>7</v>
      </c>
      <c r="AB14" s="1349" t="s">
        <v>10</v>
      </c>
      <c r="AC14" s="1525">
        <f>'別紙様式2-3（６月以降分）'!AC14</f>
        <v>3</v>
      </c>
      <c r="AD14" s="1349" t="s">
        <v>13</v>
      </c>
      <c r="AE14" s="1349" t="s">
        <v>20</v>
      </c>
      <c r="AF14" s="1349">
        <f>IF(W14&gt;=1,(AA14*12+AC14)-(W14*12+Y14)+1,"")</f>
        <v>10</v>
      </c>
      <c r="AG14" s="1351" t="s">
        <v>33</v>
      </c>
      <c r="AH14" s="1517" t="str">
        <f>'別紙様式2-3（６月以降分）'!AH14</f>
        <v/>
      </c>
      <c r="AI14" s="1519" t="str">
        <f>'別紙様式2-3（６月以降分）'!AI14</f>
        <v/>
      </c>
      <c r="AJ14" s="1521">
        <f>'別紙様式2-3（６月以降分）'!AJ14</f>
        <v>0</v>
      </c>
      <c r="AK14" s="1523" t="str">
        <f>IF('別紙様式2-3（６月以降分）'!AK14="","",'別紙様式2-3（６月以降分）'!AK14)</f>
        <v/>
      </c>
      <c r="AL14" s="1512">
        <f>'別紙様式2-3（６月以降分）'!AL14</f>
        <v>0</v>
      </c>
      <c r="AM14" s="1514" t="str">
        <f>IF('別紙様式2-3（６月以降分）'!AM14="","",'別紙様式2-3（６月以降分）'!AM14)</f>
        <v/>
      </c>
      <c r="AN14" s="1337" t="str">
        <f>IF('別紙様式2-3（６月以降分）'!AN14="","",'別紙様式2-3（６月以降分）'!AN14)</f>
        <v/>
      </c>
      <c r="AO14" s="1331" t="str">
        <f>IF('別紙様式2-3（６月以降分）'!AO14="","",'別紙様式2-3（６月以降分）'!AO14)</f>
        <v/>
      </c>
      <c r="AP14" s="1333" t="str">
        <f>IF('別紙様式2-3（６月以降分）'!AP14="","",'別紙様式2-3（６月以降分）'!AP14)</f>
        <v/>
      </c>
      <c r="AQ14" s="1481" t="str">
        <f>IF('別紙様式2-3（６月以降分）'!AQ14="","",'別紙様式2-3（６月以降分）'!AQ14)</f>
        <v/>
      </c>
      <c r="AR14" s="1484" t="str">
        <f>IF('別紙様式2-3（６月以降分）'!AR14="","",'別紙様式2-3（６月以降分）'!AR14)</f>
        <v/>
      </c>
      <c r="AS14" s="570" t="str">
        <f>IF(AU16="","",IF(U16&lt;U14,"！加算の要件上は問題ありませんが、令和６年度当初の新加算の加算率と比較して、移行後の加算率が下がる計画になっています。",""))</f>
        <v/>
      </c>
      <c r="AT14" s="571"/>
      <c r="AU14" s="1301"/>
      <c r="AV14" s="572" t="str">
        <f>IF('別紙様式2-2（４・５月分）'!N14="","",'別紙様式2-2（４・５月分）'!N14)</f>
        <v/>
      </c>
      <c r="AW14" s="1308" t="str">
        <f>IF(SUM('別紙様式2-2（４・５月分）'!O14:O16)=0,"",SUM('別紙様式2-2（４・５月分）'!O14:O16))</f>
        <v/>
      </c>
      <c r="AX14" s="1473" t="str">
        <f>IFERROR(VLOOKUP(K14,【参考】数式用!$AH$2:$AI$34,2,FALSE),"")</f>
        <v/>
      </c>
      <c r="AY14" s="493"/>
      <c r="BD14" s="340"/>
      <c r="BE14" s="1303" t="str">
        <f>G14</f>
        <v/>
      </c>
      <c r="BF14" s="1303"/>
      <c r="BG14" s="1303"/>
    </row>
    <row r="15" spans="1:59" ht="15" customHeight="1">
      <c r="A15" s="1267"/>
      <c r="B15" s="1235"/>
      <c r="C15" s="1236"/>
      <c r="D15" s="1236"/>
      <c r="E15" s="1236"/>
      <c r="F15" s="1237"/>
      <c r="G15" s="1252"/>
      <c r="H15" s="1252"/>
      <c r="I15" s="1252"/>
      <c r="J15" s="1415"/>
      <c r="K15" s="1252"/>
      <c r="L15" s="1421"/>
      <c r="M15" s="1371" t="str">
        <f>IF('別紙様式2-2（４・５月分）'!P15="","",'別紙様式2-2（４・５月分）'!P15)</f>
        <v/>
      </c>
      <c r="N15" s="1392"/>
      <c r="O15" s="1398"/>
      <c r="P15" s="1399"/>
      <c r="Q15" s="1400"/>
      <c r="R15" s="1532"/>
      <c r="S15" s="1404"/>
      <c r="T15" s="1528"/>
      <c r="U15" s="1530"/>
      <c r="V15" s="1410"/>
      <c r="W15" s="1526"/>
      <c r="X15" s="1350"/>
      <c r="Y15" s="1526"/>
      <c r="Z15" s="1350"/>
      <c r="AA15" s="1526"/>
      <c r="AB15" s="1350"/>
      <c r="AC15" s="1526"/>
      <c r="AD15" s="1350"/>
      <c r="AE15" s="1350"/>
      <c r="AF15" s="1350"/>
      <c r="AG15" s="1352"/>
      <c r="AH15" s="1518"/>
      <c r="AI15" s="1520"/>
      <c r="AJ15" s="1522"/>
      <c r="AK15" s="1524"/>
      <c r="AL15" s="1513"/>
      <c r="AM15" s="1515"/>
      <c r="AN15" s="1537"/>
      <c r="AO15" s="1516"/>
      <c r="AP15" s="1533"/>
      <c r="AQ15" s="1482"/>
      <c r="AR15" s="1485"/>
      <c r="AS15" s="1483" t="str">
        <f>IF(AU16="","",IF(OR(AA16="",AA16&lt;&gt;7,AC16="",AC16&lt;&gt;3),"！算定期間の終わりが令和７年３月になっていません。年度内の廃止予定等がなければ、算定対象月を令和７年３月にしてください。",""))</f>
        <v/>
      </c>
      <c r="AT15" s="573"/>
      <c r="AU15" s="1303"/>
      <c r="AV15" s="1304" t="str">
        <f>IF('別紙様式2-2（４・５月分）'!N15="","",'別紙様式2-2（４・５月分）'!N15)</f>
        <v/>
      </c>
      <c r="AW15" s="1305"/>
      <c r="AX15" s="1474"/>
      <c r="AY15" s="430"/>
      <c r="BD15" s="340"/>
      <c r="BE15" s="1303" t="str">
        <f>G14</f>
        <v/>
      </c>
      <c r="BF15" s="1303"/>
      <c r="BG15" s="1303"/>
    </row>
    <row r="16" spans="1:59" ht="15" customHeight="1">
      <c r="A16" s="1295"/>
      <c r="B16" s="1235"/>
      <c r="C16" s="1236"/>
      <c r="D16" s="1236"/>
      <c r="E16" s="1236"/>
      <c r="F16" s="1237"/>
      <c r="G16" s="1252"/>
      <c r="H16" s="1252"/>
      <c r="I16" s="1252"/>
      <c r="J16" s="1415"/>
      <c r="K16" s="1252"/>
      <c r="L16" s="1421"/>
      <c r="M16" s="1372"/>
      <c r="N16" s="1393"/>
      <c r="O16" s="1432" t="s">
        <v>2025</v>
      </c>
      <c r="P16" s="1425" t="str">
        <f>IFERROR(VLOOKUP('別紙様式2-2（４・５月分）'!AQ14,【参考】数式用!$AR$5:$AT$22,3,FALSE),"")</f>
        <v/>
      </c>
      <c r="Q16" s="1434" t="s">
        <v>2036</v>
      </c>
      <c r="R16" s="1508" t="str">
        <f>IFERROR(VLOOKUP(K14,【参考】数式用!$A$5:$AB$37,MATCH(P16,【参考】数式用!$B$4:$AB$4,0)+1,0),"")</f>
        <v/>
      </c>
      <c r="S16" s="1381" t="s">
        <v>2109</v>
      </c>
      <c r="T16" s="1510"/>
      <c r="U16" s="1506" t="str">
        <f>IFERROR(VLOOKUP(K14,【参考】数式用!$A$5:$AB$37,MATCH(T16,【参考】数式用!$B$4:$AB$4,0)+1,0),"")</f>
        <v/>
      </c>
      <c r="V16" s="1387" t="s">
        <v>15</v>
      </c>
      <c r="W16" s="1504"/>
      <c r="X16" s="1363" t="s">
        <v>10</v>
      </c>
      <c r="Y16" s="1504"/>
      <c r="Z16" s="1363" t="s">
        <v>38</v>
      </c>
      <c r="AA16" s="1504"/>
      <c r="AB16" s="1363" t="s">
        <v>10</v>
      </c>
      <c r="AC16" s="1504"/>
      <c r="AD16" s="1363" t="s">
        <v>13</v>
      </c>
      <c r="AE16" s="1363" t="s">
        <v>20</v>
      </c>
      <c r="AF16" s="1363" t="str">
        <f>IF(W16&gt;=1,(AA16*12+AC16)-(W16*12+Y16)+1,"")</f>
        <v/>
      </c>
      <c r="AG16" s="1359" t="s">
        <v>33</v>
      </c>
      <c r="AH16" s="1365" t="str">
        <f>IFERROR(ROUNDDOWN(ROUND(L14*U16,0),0)*AF16,"")</f>
        <v/>
      </c>
      <c r="AI16" s="1498" t="str">
        <f>IFERROR(ROUNDDOWN(ROUND((L14*(U16-AW14)),0),0)*AF16,"")</f>
        <v/>
      </c>
      <c r="AJ16" s="1369" t="str">
        <f>IFERROR(ROUNDDOWN(ROUNDDOWN(ROUND(L14*VLOOKUP(K14,【参考】数式用!$A$5:$AB$27,MATCH("新加算Ⅳ",【参考】数式用!$B$4:$AB$4,0)+1,0),0),0)*AF16*0.5,0),"")</f>
        <v/>
      </c>
      <c r="AK16" s="1500"/>
      <c r="AL16" s="1502" t="str">
        <f>IFERROR(IF('別紙様式2-2（４・５月分）'!P16="ベア加算","", IF(OR(T16="新加算Ⅰ",T16="新加算Ⅱ",T16="新加算Ⅲ",T16="新加算Ⅳ"),ROUNDDOWN(ROUND(L14*VLOOKUP(K14,【参考】数式用!$A$5:$I$27,MATCH("ベア加算",【参考】数式用!$B$4:$I$4,0)+1,0),0),0)*AF16,"")),"")</f>
        <v/>
      </c>
      <c r="AM16" s="1494"/>
      <c r="AN16" s="1542"/>
      <c r="AO16" s="1496"/>
      <c r="AP16" s="1475"/>
      <c r="AQ16" s="1477"/>
      <c r="AR16" s="1479"/>
      <c r="AS16" s="1483"/>
      <c r="AT16" s="573"/>
      <c r="AU16" s="1303" t="str">
        <f>IF(AND(AA14&lt;&gt;7,AC14&lt;&gt;3),"V列に色付け","")</f>
        <v/>
      </c>
      <c r="AV16" s="1304"/>
      <c r="AW16" s="1305"/>
      <c r="AX16" s="574"/>
      <c r="AY16" s="1222" t="str">
        <f>IF(AL16&lt;&gt;"",IF(AM16="○","入力済","未入力"),"")</f>
        <v/>
      </c>
      <c r="AZ16" s="1222"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2" t="str">
        <f>IF(OR(T16="新加算Ⅴ（７）",T16="新加算Ⅴ（９）",T16="新加算Ⅴ（10）",T16="新加算Ⅴ（12）",T16="新加算Ⅴ（13）",T16="新加算Ⅴ（14）"),IF(OR(AO16="○",AO16="令和６年度中に満たす"),"入力済","未入力"),"")</f>
        <v/>
      </c>
      <c r="BB16" s="1222" t="str">
        <f>IF(OR(T16="新加算Ⅰ",T16="新加算Ⅱ",T16="新加算Ⅲ",T16="新加算Ⅴ（１）",T16="新加算Ⅴ（３）",T16="新加算Ⅴ（８）"),IF(OR(AP16="○",AP16="令和６年度中に満たす"),"入力済","未入力"),"")</f>
        <v/>
      </c>
      <c r="BC16" s="1472" t="str">
        <f>IF(OR(T16="新加算Ⅰ",T16="新加算Ⅱ",T16="新加算Ⅴ（１）",T16="新加算Ⅴ（２）",T16="新加算Ⅴ（３）",T16="新加算Ⅴ（４）",T16="新加算Ⅴ（５）",T16="新加算Ⅴ（６）",T16="新加算Ⅴ（７）",T16="新加算Ⅴ（９）",T16="新加算Ⅴ（10）",T16="新加算Ⅴ（12）"),IF(AQ16&lt;&gt;"",1,""),"")</f>
        <v/>
      </c>
      <c r="BD16" s="1303" t="str">
        <f>IF(OR(T16="新加算Ⅰ",T16="新加算Ⅴ（１）",T16="新加算Ⅴ（２）",T16="新加算Ⅴ（５）",T16="新加算Ⅴ（７）",T16="新加算Ⅴ（10）"),IF(AR16="","未入力","入力済"),"")</f>
        <v/>
      </c>
      <c r="BE16" s="1303" t="str">
        <f>G14</f>
        <v/>
      </c>
      <c r="BF16" s="1303"/>
      <c r="BG16" s="1303"/>
    </row>
    <row r="17" spans="1:59" ht="30" customHeight="1" thickBot="1">
      <c r="A17" s="1268"/>
      <c r="B17" s="1411"/>
      <c r="C17" s="1412"/>
      <c r="D17" s="1412"/>
      <c r="E17" s="1412"/>
      <c r="F17" s="1413"/>
      <c r="G17" s="1253"/>
      <c r="H17" s="1253"/>
      <c r="I17" s="1253"/>
      <c r="J17" s="1416"/>
      <c r="K17" s="1253"/>
      <c r="L17" s="1422"/>
      <c r="M17" s="553" t="str">
        <f>IF('別紙様式2-2（４・５月分）'!P16="","",'別紙様式2-2（４・５月分）'!P16)</f>
        <v/>
      </c>
      <c r="N17" s="1394"/>
      <c r="O17" s="1433"/>
      <c r="P17" s="1426"/>
      <c r="Q17" s="1435"/>
      <c r="R17" s="1509"/>
      <c r="S17" s="1382"/>
      <c r="T17" s="1511"/>
      <c r="U17" s="1507"/>
      <c r="V17" s="1388"/>
      <c r="W17" s="1505"/>
      <c r="X17" s="1364"/>
      <c r="Y17" s="1505"/>
      <c r="Z17" s="1364"/>
      <c r="AA17" s="1505"/>
      <c r="AB17" s="1364"/>
      <c r="AC17" s="1505"/>
      <c r="AD17" s="1364"/>
      <c r="AE17" s="1364"/>
      <c r="AF17" s="1364"/>
      <c r="AG17" s="1360"/>
      <c r="AH17" s="1366"/>
      <c r="AI17" s="1499"/>
      <c r="AJ17" s="1370"/>
      <c r="AK17" s="1501"/>
      <c r="AL17" s="1503"/>
      <c r="AM17" s="1495"/>
      <c r="AN17" s="1543"/>
      <c r="AO17" s="1497"/>
      <c r="AP17" s="1476"/>
      <c r="AQ17" s="1478"/>
      <c r="AR17" s="1480"/>
      <c r="AS17" s="575"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1"/>
      <c r="AU17" s="1303"/>
      <c r="AV17" s="555" t="str">
        <f>IF('別紙様式2-2（４・５月分）'!N16="","",'別紙様式2-2（４・５月分）'!N16)</f>
        <v/>
      </c>
      <c r="AW17" s="1305"/>
      <c r="AX17" s="576"/>
      <c r="AY17" s="1222" t="str">
        <f>IF(OR(T17="新加算Ⅰ",T17="新加算Ⅱ",T17="新加算Ⅲ",T17="新加算Ⅳ",T17="新加算Ⅴ（１）",T17="新加算Ⅴ（２）",T17="新加算Ⅴ（３）",T17="新加算ⅠⅤ（４）",T17="新加算Ⅴ（５）",T17="新加算Ⅴ（６）",T17="新加算Ⅴ（８）",T17="新加算Ⅴ（11）"),IF(AI17="○","","未入力"),"")</f>
        <v/>
      </c>
      <c r="AZ17" s="1222" t="str">
        <f>IF(OR(U17="新加算Ⅰ",U17="新加算Ⅱ",U17="新加算Ⅲ",U17="新加算Ⅳ",U17="新加算Ⅴ（１）",U17="新加算Ⅴ（２）",U17="新加算Ⅴ（３）",U17="新加算ⅠⅤ（４）",U17="新加算Ⅴ（５）",U17="新加算Ⅴ（６）",U17="新加算Ⅴ（８）",U17="新加算Ⅴ（11）"),IF(AJ17="○","","未入力"),"")</f>
        <v/>
      </c>
      <c r="BA17" s="1222" t="str">
        <f>IF(OR(U17="新加算Ⅴ（７）",U17="新加算Ⅴ（９）",U17="新加算Ⅴ（10）",U17="新加算Ⅴ（12）",U17="新加算Ⅴ（13）",U17="新加算Ⅴ（14）"),IF(AK17="○","","未入力"),"")</f>
        <v/>
      </c>
      <c r="BB17" s="1222" t="str">
        <f>IF(OR(U17="新加算Ⅰ",U17="新加算Ⅱ",U17="新加算Ⅲ",U17="新加算Ⅴ（１）",U17="新加算Ⅴ（３）",U17="新加算Ⅴ（８）"),IF(AL17="○","","未入力"),"")</f>
        <v/>
      </c>
      <c r="BC17" s="1472"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03" t="str">
        <f>IF(AND(T17&lt;&gt;"（参考）令和７年度の移行予定",OR(U17="新加算Ⅰ",U17="新加算Ⅴ（１）",U17="新加算Ⅴ（２）",U17="新加算Ⅴ（５）",U17="新加算Ⅴ（７）",U17="新加算Ⅴ（10）")),IF(AN17="","未入力",IF(AN17="いずれも取得していない","要件を満たさない","")),"")</f>
        <v/>
      </c>
      <c r="BE17" s="1303" t="str">
        <f>G14</f>
        <v/>
      </c>
      <c r="BF17" s="1303"/>
      <c r="BG17" s="1303"/>
    </row>
    <row r="18" spans="1:59" ht="30" customHeight="1">
      <c r="A18" s="1293">
        <v>2</v>
      </c>
      <c r="B18" s="1235" t="str">
        <f>IF(基本情報入力シート!C55="","",基本情報入力シート!C55)</f>
        <v/>
      </c>
      <c r="C18" s="1236"/>
      <c r="D18" s="1236"/>
      <c r="E18" s="1236"/>
      <c r="F18" s="1237"/>
      <c r="G18" s="1252" t="str">
        <f>IF(基本情報入力シート!M55="","",基本情報入力シート!M55)</f>
        <v/>
      </c>
      <c r="H18" s="1252" t="str">
        <f>IF(基本情報入力シート!R55="","",基本情報入力シート!R55)</f>
        <v/>
      </c>
      <c r="I18" s="1252" t="str">
        <f>IF(基本情報入力シート!W55="","",基本情報入力シート!W55)</f>
        <v/>
      </c>
      <c r="J18" s="1415" t="str">
        <f>IF(基本情報入力シート!X55="","",基本情報入力シート!X55)</f>
        <v/>
      </c>
      <c r="K18" s="1252" t="str">
        <f>IF(基本情報入力シート!Y55="","",基本情報入力シート!Y55)</f>
        <v/>
      </c>
      <c r="L18" s="1421" t="str">
        <f>IF(基本情報入力シート!AB55="","",基本情報入力シート!AB55)</f>
        <v/>
      </c>
      <c r="M18" s="550" t="str">
        <f>IF('別紙様式2-2（４・５月分）'!P17="","",'別紙様式2-2（４・５月分）'!P17)</f>
        <v/>
      </c>
      <c r="N18" s="1391" t="str">
        <f>IF(SUM('別紙様式2-2（４・５月分）'!Q17:Q19)=0,"",SUM('別紙様式2-2（４・５月分）'!Q17:Q19))</f>
        <v/>
      </c>
      <c r="O18" s="1395" t="str">
        <f>IFERROR(VLOOKUP('別紙様式2-2（４・５月分）'!AQ17,【参考】数式用!$AR$5:$AS$22,2,FALSE),"")</f>
        <v/>
      </c>
      <c r="P18" s="1396"/>
      <c r="Q18" s="1397"/>
      <c r="R18" s="1531" t="str">
        <f>IFERROR(VLOOKUP(K18,【参考】数式用!$A$5:$AB$37,MATCH(O18,【参考】数式用!$B$4:$AB$4,0)+1,0),"")</f>
        <v/>
      </c>
      <c r="S18" s="1403" t="s">
        <v>2039</v>
      </c>
      <c r="T18" s="1527" t="str">
        <f>IF('別紙様式2-3（６月以降分）'!T18="","",'別紙様式2-3（６月以降分）'!T18)</f>
        <v/>
      </c>
      <c r="U18" s="1529" t="str">
        <f>IFERROR(VLOOKUP(K18,【参考】数式用!$A$5:$AB$37,MATCH(T18,【参考】数式用!$B$4:$AB$4,0)+1,0),"")</f>
        <v/>
      </c>
      <c r="V18" s="1409" t="s">
        <v>15</v>
      </c>
      <c r="W18" s="1525">
        <f>'別紙様式2-3（６月以降分）'!W18</f>
        <v>6</v>
      </c>
      <c r="X18" s="1349" t="s">
        <v>10</v>
      </c>
      <c r="Y18" s="1525">
        <f>'別紙様式2-3（６月以降分）'!Y18</f>
        <v>6</v>
      </c>
      <c r="Z18" s="1349" t="s">
        <v>38</v>
      </c>
      <c r="AA18" s="1525">
        <f>'別紙様式2-3（６月以降分）'!AA18</f>
        <v>7</v>
      </c>
      <c r="AB18" s="1349" t="s">
        <v>10</v>
      </c>
      <c r="AC18" s="1525">
        <f>'別紙様式2-3（６月以降分）'!AC18</f>
        <v>3</v>
      </c>
      <c r="AD18" s="1349" t="s">
        <v>13</v>
      </c>
      <c r="AE18" s="1349" t="s">
        <v>20</v>
      </c>
      <c r="AF18" s="1349">
        <f>IF(W18&gt;=1,(AA18*12+AC18)-(W18*12+Y18)+1,"")</f>
        <v>10</v>
      </c>
      <c r="AG18" s="1351" t="s">
        <v>33</v>
      </c>
      <c r="AH18" s="1517" t="str">
        <f>'別紙様式2-3（６月以降分）'!AH18</f>
        <v/>
      </c>
      <c r="AI18" s="1519" t="str">
        <f>'別紙様式2-3（６月以降分）'!AI18</f>
        <v/>
      </c>
      <c r="AJ18" s="1521">
        <f>'別紙様式2-3（６月以降分）'!AJ18</f>
        <v>0</v>
      </c>
      <c r="AK18" s="1523" t="str">
        <f>IF('別紙様式2-3（６月以降分）'!AK18="","",'別紙様式2-3（６月以降分）'!AK18)</f>
        <v/>
      </c>
      <c r="AL18" s="1512">
        <f>'別紙様式2-3（６月以降分）'!AL18</f>
        <v>0</v>
      </c>
      <c r="AM18" s="1514" t="str">
        <f>IF('別紙様式2-3（６月以降分）'!AM18="","",'別紙様式2-3（６月以降分）'!AM18)</f>
        <v/>
      </c>
      <c r="AN18" s="1333" t="str">
        <f>IF('別紙様式2-3（６月以降分）'!AN18="","",'別紙様式2-3（６月以降分）'!AN18)</f>
        <v/>
      </c>
      <c r="AO18" s="1331" t="str">
        <f>IF('別紙様式2-3（６月以降分）'!AO18="","",'別紙様式2-3（６月以降分）'!AO18)</f>
        <v/>
      </c>
      <c r="AP18" s="1333" t="str">
        <f>IF('別紙様式2-3（６月以降分）'!AP18="","",'別紙様式2-3（６月以降分）'!AP18)</f>
        <v/>
      </c>
      <c r="AQ18" s="1481" t="str">
        <f>IF('別紙様式2-3（６月以降分）'!AQ18="","",'別紙様式2-3（６月以降分）'!AQ18)</f>
        <v/>
      </c>
      <c r="AR18" s="1484" t="str">
        <f>IF('別紙様式2-3（６月以降分）'!AR18="","",'別紙様式2-3（６月以降分）'!AR18)</f>
        <v/>
      </c>
      <c r="AS18" s="570" t="str">
        <f t="shared" ref="AS18" si="0">IF(AU20="","",IF(U20&lt;U18,"！加算の要件上は問題ありませんが、令和６年度当初の新加算の加算率と比較して、移行後の加算率が下がる計画になっています。",""))</f>
        <v/>
      </c>
      <c r="AT18" s="577"/>
      <c r="AU18" s="1301"/>
      <c r="AV18" s="555" t="str">
        <f>IF('別紙様式2-2（４・５月分）'!N17="","",'別紙様式2-2（４・５月分）'!N17)</f>
        <v/>
      </c>
      <c r="AW18" s="1305" t="str">
        <f>IF(SUM('別紙様式2-2（４・５月分）'!O17:O19)=0,"",SUM('別紙様式2-2（４・５月分）'!O17:O19))</f>
        <v/>
      </c>
      <c r="AX18" s="1473" t="str">
        <f>IFERROR(VLOOKUP(K18,【参考】数式用!$AH$2:$AI$34,2,FALSE),"")</f>
        <v/>
      </c>
      <c r="AY18" s="493"/>
      <c r="BD18" s="340"/>
      <c r="BE18" s="1303" t="str">
        <f>G18</f>
        <v/>
      </c>
      <c r="BF18" s="1303"/>
      <c r="BG18" s="1303"/>
    </row>
    <row r="19" spans="1:59" ht="15" customHeight="1">
      <c r="A19" s="1267"/>
      <c r="B19" s="1235"/>
      <c r="C19" s="1236"/>
      <c r="D19" s="1236"/>
      <c r="E19" s="1236"/>
      <c r="F19" s="1237"/>
      <c r="G19" s="1252"/>
      <c r="H19" s="1252"/>
      <c r="I19" s="1252"/>
      <c r="J19" s="1415"/>
      <c r="K19" s="1252"/>
      <c r="L19" s="1421"/>
      <c r="M19" s="1371" t="str">
        <f>IF('別紙様式2-2（４・５月分）'!P18="","",'別紙様式2-2（４・５月分）'!P18)</f>
        <v/>
      </c>
      <c r="N19" s="1392"/>
      <c r="O19" s="1398"/>
      <c r="P19" s="1399"/>
      <c r="Q19" s="1400"/>
      <c r="R19" s="1532"/>
      <c r="S19" s="1404"/>
      <c r="T19" s="1528"/>
      <c r="U19" s="1530"/>
      <c r="V19" s="1410"/>
      <c r="W19" s="1526"/>
      <c r="X19" s="1350"/>
      <c r="Y19" s="1526"/>
      <c r="Z19" s="1350"/>
      <c r="AA19" s="1526"/>
      <c r="AB19" s="1350"/>
      <c r="AC19" s="1526"/>
      <c r="AD19" s="1350"/>
      <c r="AE19" s="1350"/>
      <c r="AF19" s="1350"/>
      <c r="AG19" s="1352"/>
      <c r="AH19" s="1518"/>
      <c r="AI19" s="1520"/>
      <c r="AJ19" s="1522"/>
      <c r="AK19" s="1524"/>
      <c r="AL19" s="1513"/>
      <c r="AM19" s="1515"/>
      <c r="AN19" s="1334"/>
      <c r="AO19" s="1516"/>
      <c r="AP19" s="1334"/>
      <c r="AQ19" s="1482"/>
      <c r="AR19" s="1485"/>
      <c r="AS19" s="1483" t="str">
        <f t="shared" ref="AS19" si="1">IF(AU20="","",IF(OR(AA20="",AA20&lt;&gt;7,AC20="",AC20&lt;&gt;3),"！算定期間の終わりが令和７年３月になっていません。年度内の廃止予定等がなければ、算定対象月を令和７年３月にしてください。",""))</f>
        <v/>
      </c>
      <c r="AT19" s="577"/>
      <c r="AU19" s="1303"/>
      <c r="AV19" s="1304" t="str">
        <f>IF('別紙様式2-2（４・５月分）'!N18="","",'別紙様式2-2（４・５月分）'!N18)</f>
        <v/>
      </c>
      <c r="AW19" s="1305"/>
      <c r="AX19" s="1474"/>
      <c r="AY19" s="430"/>
      <c r="BD19" s="340"/>
      <c r="BE19" s="1303" t="str">
        <f>G18</f>
        <v/>
      </c>
      <c r="BF19" s="1303"/>
      <c r="BG19" s="1303"/>
    </row>
    <row r="20" spans="1:59" ht="15" customHeight="1">
      <c r="A20" s="1295"/>
      <c r="B20" s="1235"/>
      <c r="C20" s="1236"/>
      <c r="D20" s="1236"/>
      <c r="E20" s="1236"/>
      <c r="F20" s="1237"/>
      <c r="G20" s="1252"/>
      <c r="H20" s="1252"/>
      <c r="I20" s="1252"/>
      <c r="J20" s="1415"/>
      <c r="K20" s="1252"/>
      <c r="L20" s="1421"/>
      <c r="M20" s="1372"/>
      <c r="N20" s="1393"/>
      <c r="O20" s="1432" t="s">
        <v>2025</v>
      </c>
      <c r="P20" s="1425" t="str">
        <f>IFERROR(VLOOKUP('別紙様式2-2（４・５月分）'!AQ17,【参考】数式用!$AR$5:$AT$22,3,FALSE),"")</f>
        <v/>
      </c>
      <c r="Q20" s="1434" t="s">
        <v>2036</v>
      </c>
      <c r="R20" s="1508" t="str">
        <f>IFERROR(VLOOKUP(K18,【参考】数式用!$A$5:$AB$37,MATCH(P20,【参考】数式用!$B$4:$AB$4,0)+1,0),"")</f>
        <v/>
      </c>
      <c r="S20" s="1381" t="s">
        <v>2109</v>
      </c>
      <c r="T20" s="1510"/>
      <c r="U20" s="1506" t="str">
        <f>IFERROR(VLOOKUP(K18,【参考】数式用!$A$5:$AB$37,MATCH(T20,【参考】数式用!$B$4:$AB$4,0)+1,0),"")</f>
        <v/>
      </c>
      <c r="V20" s="1387" t="s">
        <v>15</v>
      </c>
      <c r="W20" s="1504"/>
      <c r="X20" s="1363" t="s">
        <v>10</v>
      </c>
      <c r="Y20" s="1504"/>
      <c r="Z20" s="1363" t="s">
        <v>38</v>
      </c>
      <c r="AA20" s="1504"/>
      <c r="AB20" s="1363" t="s">
        <v>10</v>
      </c>
      <c r="AC20" s="1504"/>
      <c r="AD20" s="1363" t="s">
        <v>13</v>
      </c>
      <c r="AE20" s="1363" t="s">
        <v>20</v>
      </c>
      <c r="AF20" s="1363" t="str">
        <f>IF(W20&gt;=1,(AA20*12+AC20)-(W20*12+Y20)+1,"")</f>
        <v/>
      </c>
      <c r="AG20" s="1359" t="s">
        <v>33</v>
      </c>
      <c r="AH20" s="1365" t="str">
        <f t="shared" ref="AH20" si="2">IFERROR(ROUNDDOWN(ROUND(L18*U20,0),0)*AF20,"")</f>
        <v/>
      </c>
      <c r="AI20" s="1498" t="str">
        <f t="shared" ref="AI20" si="3">IFERROR(ROUNDDOWN(ROUND((L18*(U20-AW18)),0),0)*AF20,"")</f>
        <v/>
      </c>
      <c r="AJ20" s="1369" t="str">
        <f>IFERROR(ROUNDDOWN(ROUNDDOWN(ROUND(L18*VLOOKUP(K18,【参考】数式用!$A$5:$AB$27,MATCH("新加算Ⅳ",【参考】数式用!$B$4:$AB$4,0)+1,0),0),0)*AF20*0.5,0),"")</f>
        <v/>
      </c>
      <c r="AK20" s="1500"/>
      <c r="AL20" s="1502" t="str">
        <f>IFERROR(IF('別紙様式2-2（４・５月分）'!P20="ベア加算","", IF(OR(T20="新加算Ⅰ",T20="新加算Ⅱ",T20="新加算Ⅲ",T20="新加算Ⅳ"),ROUNDDOWN(ROUND(L18*VLOOKUP(K18,【参考】数式用!$A$5:$I$27,MATCH("ベア加算",【参考】数式用!$B$4:$I$4,0)+1,0),0),0)*AF20,"")),"")</f>
        <v/>
      </c>
      <c r="AM20" s="1494"/>
      <c r="AN20" s="1475"/>
      <c r="AO20" s="1496"/>
      <c r="AP20" s="1475"/>
      <c r="AQ20" s="1477"/>
      <c r="AR20" s="1479"/>
      <c r="AS20" s="1483"/>
      <c r="AT20" s="451"/>
      <c r="AU20" s="1303" t="str">
        <f>IF(AND(AA18&lt;&gt;7,AC18&lt;&gt;3),"V列に色付け","")</f>
        <v/>
      </c>
      <c r="AV20" s="1304"/>
      <c r="AW20" s="1305"/>
      <c r="AX20" s="574"/>
      <c r="AY20" s="1222" t="str">
        <f>IF(AL20&lt;&gt;"",IF(AM20="○","入力済","未入力"),"")</f>
        <v/>
      </c>
      <c r="AZ20" s="1222"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2" t="str">
        <f>IF(OR(T20="新加算Ⅴ（７）",T20="新加算Ⅴ（９）",T20="新加算Ⅴ（10）",T20="新加算Ⅴ（12）",T20="新加算Ⅴ（13）",T20="新加算Ⅴ（14）"),IF(OR(AO20="○",AO20="令和６年度中に満たす"),"入力済","未入力"),"")</f>
        <v/>
      </c>
      <c r="BB20" s="1222" t="str">
        <f>IF(OR(T20="新加算Ⅰ",T20="新加算Ⅱ",T20="新加算Ⅲ",T20="新加算Ⅴ（１）",T20="新加算Ⅴ（３）",T20="新加算Ⅴ（８）"),IF(OR(AP20="○",AP20="令和６年度中に満たす"),"入力済","未入力"),"")</f>
        <v/>
      </c>
      <c r="BC20" s="1472" t="str">
        <f t="shared" ref="BC20" si="4">IF(OR(T20="新加算Ⅰ",T20="新加算Ⅱ",T20="新加算Ⅴ（１）",T20="新加算Ⅴ（２）",T20="新加算Ⅴ（３）",T20="新加算Ⅴ（４）",T20="新加算Ⅴ（５）",T20="新加算Ⅴ（６）",T20="新加算Ⅴ（７）",T20="新加算Ⅴ（９）",T20="新加算Ⅴ（10）",T20="新加算Ⅴ（12）"),IF(AQ20&lt;&gt;"",1,""),"")</f>
        <v/>
      </c>
      <c r="BD20" s="1303" t="str">
        <f>IF(OR(T20="新加算Ⅰ",T20="新加算Ⅴ（１）",T20="新加算Ⅴ（２）",T20="新加算Ⅴ（５）",T20="新加算Ⅴ（７）",T20="新加算Ⅴ（10）"),IF(AR20="","未入力","入力済"),"")</f>
        <v/>
      </c>
      <c r="BE20" s="1303" t="str">
        <f>G18</f>
        <v/>
      </c>
      <c r="BF20" s="1303"/>
      <c r="BG20" s="1303"/>
    </row>
    <row r="21" spans="1:59" ht="30" customHeight="1" thickBot="1">
      <c r="A21" s="1268"/>
      <c r="B21" s="1411"/>
      <c r="C21" s="1412"/>
      <c r="D21" s="1412"/>
      <c r="E21" s="1412"/>
      <c r="F21" s="1413"/>
      <c r="G21" s="1253"/>
      <c r="H21" s="1253"/>
      <c r="I21" s="1253"/>
      <c r="J21" s="1416"/>
      <c r="K21" s="1253"/>
      <c r="L21" s="1422"/>
      <c r="M21" s="553" t="str">
        <f>IF('別紙様式2-2（４・５月分）'!P19="","",'別紙様式2-2（４・５月分）'!P19)</f>
        <v/>
      </c>
      <c r="N21" s="1394"/>
      <c r="O21" s="1433"/>
      <c r="P21" s="1426"/>
      <c r="Q21" s="1435"/>
      <c r="R21" s="1509"/>
      <c r="S21" s="1382"/>
      <c r="T21" s="1511"/>
      <c r="U21" s="1507"/>
      <c r="V21" s="1388"/>
      <c r="W21" s="1505"/>
      <c r="X21" s="1364"/>
      <c r="Y21" s="1505"/>
      <c r="Z21" s="1364"/>
      <c r="AA21" s="1505"/>
      <c r="AB21" s="1364"/>
      <c r="AC21" s="1505"/>
      <c r="AD21" s="1364"/>
      <c r="AE21" s="1364"/>
      <c r="AF21" s="1364"/>
      <c r="AG21" s="1360"/>
      <c r="AH21" s="1366"/>
      <c r="AI21" s="1499"/>
      <c r="AJ21" s="1370"/>
      <c r="AK21" s="1501"/>
      <c r="AL21" s="1503"/>
      <c r="AM21" s="1495"/>
      <c r="AN21" s="1476"/>
      <c r="AO21" s="1497"/>
      <c r="AP21" s="1476"/>
      <c r="AQ21" s="1478"/>
      <c r="AR21" s="1480"/>
      <c r="AS21" s="575"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1"/>
      <c r="AU21" s="1303"/>
      <c r="AV21" s="555" t="str">
        <f>IF('別紙様式2-2（４・５月分）'!N19="","",'別紙様式2-2（４・５月分）'!N19)</f>
        <v/>
      </c>
      <c r="AW21" s="1305"/>
      <c r="AX21" s="576"/>
      <c r="AY21" s="1222" t="str">
        <f>IF(OR(T21="新加算Ⅰ",T21="新加算Ⅱ",T21="新加算Ⅲ",T21="新加算Ⅳ",T21="新加算Ⅴ（１）",T21="新加算Ⅴ（２）",T21="新加算Ⅴ（３）",T21="新加算ⅠⅤ（４）",T21="新加算Ⅴ（５）",T21="新加算Ⅴ（６）",T21="新加算Ⅴ（８）",T21="新加算Ⅴ（11）"),IF(AI21="○","","未入力"),"")</f>
        <v/>
      </c>
      <c r="AZ21" s="1222" t="str">
        <f>IF(OR(U21="新加算Ⅰ",U21="新加算Ⅱ",U21="新加算Ⅲ",U21="新加算Ⅳ",U21="新加算Ⅴ（１）",U21="新加算Ⅴ（２）",U21="新加算Ⅴ（３）",U21="新加算ⅠⅤ（４）",U21="新加算Ⅴ（５）",U21="新加算Ⅴ（６）",U21="新加算Ⅴ（８）",U21="新加算Ⅴ（11）"),IF(AJ21="○","","未入力"),"")</f>
        <v/>
      </c>
      <c r="BA21" s="1222" t="str">
        <f>IF(OR(U21="新加算Ⅴ（７）",U21="新加算Ⅴ（９）",U21="新加算Ⅴ（10）",U21="新加算Ⅴ（12）",U21="新加算Ⅴ（13）",U21="新加算Ⅴ（14）"),IF(AK21="○","","未入力"),"")</f>
        <v/>
      </c>
      <c r="BB21" s="1222" t="str">
        <f>IF(OR(U21="新加算Ⅰ",U21="新加算Ⅱ",U21="新加算Ⅲ",U21="新加算Ⅴ（１）",U21="新加算Ⅴ（３）",U21="新加算Ⅴ（８）"),IF(AL21="○","","未入力"),"")</f>
        <v/>
      </c>
      <c r="BC21" s="1472"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03" t="str">
        <f>IF(AND(T21&lt;&gt;"（参考）令和７年度の移行予定",OR(U21="新加算Ⅰ",U21="新加算Ⅴ（１）",U21="新加算Ⅴ（２）",U21="新加算Ⅴ（５）",U21="新加算Ⅴ（７）",U21="新加算Ⅴ（10）")),IF(AN21="","未入力",IF(AN21="いずれも取得していない","要件を満たさない","")),"")</f>
        <v/>
      </c>
      <c r="BE21" s="1303" t="str">
        <f>G18</f>
        <v/>
      </c>
      <c r="BF21" s="1303"/>
      <c r="BG21" s="1303"/>
    </row>
    <row r="22" spans="1:59" ht="30" customHeight="1">
      <c r="A22" s="1266">
        <v>3</v>
      </c>
      <c r="B22" s="1232" t="str">
        <f>IF(基本情報入力シート!C56="","",基本情報入力シート!C56)</f>
        <v/>
      </c>
      <c r="C22" s="1233"/>
      <c r="D22" s="1233"/>
      <c r="E22" s="1233"/>
      <c r="F22" s="1234"/>
      <c r="G22" s="1251" t="str">
        <f>IF(基本情報入力シート!M56="","",基本情報入力シート!M56)</f>
        <v/>
      </c>
      <c r="H22" s="1251" t="str">
        <f>IF(基本情報入力シート!R56="","",基本情報入力シート!R56)</f>
        <v/>
      </c>
      <c r="I22" s="1251" t="str">
        <f>IF(基本情報入力シート!W56="","",基本情報入力シート!W56)</f>
        <v/>
      </c>
      <c r="J22" s="1414" t="str">
        <f>IF(基本情報入力シート!X56="","",基本情報入力シート!X56)</f>
        <v/>
      </c>
      <c r="K22" s="1251" t="str">
        <f>IF(基本情報入力シート!Y56="","",基本情報入力シート!Y56)</f>
        <v/>
      </c>
      <c r="L22" s="1427" t="str">
        <f>IF(基本情報入力シート!AB56="","",基本情報入力シート!AB56)</f>
        <v/>
      </c>
      <c r="M22" s="550" t="str">
        <f>IF('別紙様式2-2（４・５月分）'!P20="","",'別紙様式2-2（４・５月分）'!P20)</f>
        <v/>
      </c>
      <c r="N22" s="1391" t="str">
        <f>IF(SUM('別紙様式2-2（４・５月分）'!Q20:Q22)=0,"",SUM('別紙様式2-2（４・５月分）'!Q20:Q22))</f>
        <v/>
      </c>
      <c r="O22" s="1395" t="str">
        <f>IFERROR(VLOOKUP('別紙様式2-2（４・５月分）'!AQ20,【参考】数式用!$AR$5:$AS$22,2,FALSE),"")</f>
        <v/>
      </c>
      <c r="P22" s="1396"/>
      <c r="Q22" s="1397"/>
      <c r="R22" s="1531" t="str">
        <f>IFERROR(VLOOKUP(K22,【参考】数式用!$A$5:$AB$37,MATCH(O22,【参考】数式用!$B$4:$AB$4,0)+1,0),"")</f>
        <v/>
      </c>
      <c r="S22" s="1403" t="s">
        <v>2039</v>
      </c>
      <c r="T22" s="1527" t="str">
        <f>IF('別紙様式2-3（６月以降分）'!T22="","",'別紙様式2-3（６月以降分）'!T22)</f>
        <v/>
      </c>
      <c r="U22" s="1529" t="str">
        <f>IFERROR(VLOOKUP(K22,【参考】数式用!$A$5:$AB$37,MATCH(T22,【参考】数式用!$B$4:$AB$4,0)+1,0),"")</f>
        <v/>
      </c>
      <c r="V22" s="1409" t="s">
        <v>15</v>
      </c>
      <c r="W22" s="1525">
        <f>'別紙様式2-3（６月以降分）'!W22</f>
        <v>6</v>
      </c>
      <c r="X22" s="1349" t="s">
        <v>10</v>
      </c>
      <c r="Y22" s="1525">
        <f>'別紙様式2-3（６月以降分）'!Y22</f>
        <v>6</v>
      </c>
      <c r="Z22" s="1349" t="s">
        <v>38</v>
      </c>
      <c r="AA22" s="1525">
        <f>'別紙様式2-3（６月以降分）'!AA22</f>
        <v>7</v>
      </c>
      <c r="AB22" s="1349" t="s">
        <v>10</v>
      </c>
      <c r="AC22" s="1525">
        <f>'別紙様式2-3（６月以降分）'!AC22</f>
        <v>3</v>
      </c>
      <c r="AD22" s="1349" t="s">
        <v>2020</v>
      </c>
      <c r="AE22" s="1349" t="s">
        <v>20</v>
      </c>
      <c r="AF22" s="1349">
        <f>IF(W22&gt;=1,(AA22*12+AC22)-(W22*12+Y22)+1,"")</f>
        <v>10</v>
      </c>
      <c r="AG22" s="1351" t="s">
        <v>33</v>
      </c>
      <c r="AH22" s="1517" t="str">
        <f>'別紙様式2-3（６月以降分）'!AH22</f>
        <v/>
      </c>
      <c r="AI22" s="1519" t="str">
        <f>'別紙様式2-3（６月以降分）'!AI22</f>
        <v/>
      </c>
      <c r="AJ22" s="1521">
        <f>'別紙様式2-3（６月以降分）'!AJ22</f>
        <v>0</v>
      </c>
      <c r="AK22" s="1523" t="str">
        <f>IF('別紙様式2-3（６月以降分）'!AK22="","",'別紙様式2-3（６月以降分）'!AK22)</f>
        <v/>
      </c>
      <c r="AL22" s="1512">
        <f>'別紙様式2-3（６月以降分）'!AL22</f>
        <v>0</v>
      </c>
      <c r="AM22" s="1514" t="str">
        <f>IF('別紙様式2-3（６月以降分）'!AM22="","",'別紙様式2-3（６月以降分）'!AM22)</f>
        <v/>
      </c>
      <c r="AN22" s="1333" t="str">
        <f>IF('別紙様式2-3（６月以降分）'!AN22="","",'別紙様式2-3（６月以降分）'!AN22)</f>
        <v/>
      </c>
      <c r="AO22" s="1331" t="str">
        <f>IF('別紙様式2-3（６月以降分）'!AO22="","",'別紙様式2-3（６月以降分）'!AO22)</f>
        <v/>
      </c>
      <c r="AP22" s="1333" t="str">
        <f>IF('別紙様式2-3（６月以降分）'!AP22="","",'別紙様式2-3（６月以降分）'!AP22)</f>
        <v/>
      </c>
      <c r="AQ22" s="1481" t="str">
        <f>IF('別紙様式2-3（６月以降分）'!AQ22="","",'別紙様式2-3（６月以降分）'!AQ22)</f>
        <v/>
      </c>
      <c r="AR22" s="1484" t="str">
        <f>IF('別紙様式2-3（６月以降分）'!AR22="","",'別紙様式2-3（６月以降分）'!AR22)</f>
        <v/>
      </c>
      <c r="AS22" s="570" t="str">
        <f t="shared" ref="AS22" si="7">IF(AU24="","",IF(U24&lt;U22,"！加算の要件上は問題ありませんが、令和６年度当初の新加算の加算率と比較して、移行後の加算率が下がる計画になっています。",""))</f>
        <v/>
      </c>
      <c r="AT22" s="577"/>
      <c r="AU22" s="1301"/>
      <c r="AV22" s="555" t="str">
        <f>IF('別紙様式2-2（４・５月分）'!N20="","",'別紙様式2-2（４・５月分）'!N20)</f>
        <v/>
      </c>
      <c r="AW22" s="1305" t="str">
        <f>IF(SUM('別紙様式2-2（４・５月分）'!O20:O22)=0,"",SUM('別紙様式2-2（４・５月分）'!O20:O22))</f>
        <v/>
      </c>
      <c r="AX22" s="1473" t="str">
        <f>IFERROR(VLOOKUP(K22,【参考】数式用!$AH$2:$AI$34,2,FALSE),"")</f>
        <v/>
      </c>
      <c r="AY22" s="493"/>
      <c r="BD22" s="340"/>
      <c r="BE22" s="1303" t="str">
        <f>G22</f>
        <v/>
      </c>
      <c r="BF22" s="1303"/>
      <c r="BG22" s="1303"/>
    </row>
    <row r="23" spans="1:59" ht="15" customHeight="1">
      <c r="A23" s="1267"/>
      <c r="B23" s="1235"/>
      <c r="C23" s="1236"/>
      <c r="D23" s="1236"/>
      <c r="E23" s="1236"/>
      <c r="F23" s="1237"/>
      <c r="G23" s="1252"/>
      <c r="H23" s="1252"/>
      <c r="I23" s="1252"/>
      <c r="J23" s="1415"/>
      <c r="K23" s="1252"/>
      <c r="L23" s="1421"/>
      <c r="M23" s="1371" t="str">
        <f>IF('別紙様式2-2（４・５月分）'!P21="","",'別紙様式2-2（４・５月分）'!P21)</f>
        <v/>
      </c>
      <c r="N23" s="1392"/>
      <c r="O23" s="1398"/>
      <c r="P23" s="1399"/>
      <c r="Q23" s="1400"/>
      <c r="R23" s="1532"/>
      <c r="S23" s="1404"/>
      <c r="T23" s="1528"/>
      <c r="U23" s="1530"/>
      <c r="V23" s="1410"/>
      <c r="W23" s="1526"/>
      <c r="X23" s="1350"/>
      <c r="Y23" s="1526"/>
      <c r="Z23" s="1350"/>
      <c r="AA23" s="1526"/>
      <c r="AB23" s="1350"/>
      <c r="AC23" s="1526"/>
      <c r="AD23" s="1350"/>
      <c r="AE23" s="1350"/>
      <c r="AF23" s="1350"/>
      <c r="AG23" s="1352"/>
      <c r="AH23" s="1518"/>
      <c r="AI23" s="1520"/>
      <c r="AJ23" s="1522"/>
      <c r="AK23" s="1524"/>
      <c r="AL23" s="1513"/>
      <c r="AM23" s="1515"/>
      <c r="AN23" s="1334"/>
      <c r="AO23" s="1516"/>
      <c r="AP23" s="1334"/>
      <c r="AQ23" s="1482"/>
      <c r="AR23" s="1485"/>
      <c r="AS23" s="1483" t="str">
        <f t="shared" ref="AS23" si="8">IF(AU24="","",IF(OR(AA24="",AA24&lt;&gt;7,AC24="",AC24&lt;&gt;3),"！算定期間の終わりが令和７年３月になっていません。年度内の廃止予定等がなければ、算定対象月を令和７年３月にしてください。",""))</f>
        <v/>
      </c>
      <c r="AT23" s="577"/>
      <c r="AU23" s="1303"/>
      <c r="AV23" s="1304" t="str">
        <f>IF('別紙様式2-2（４・５月分）'!N21="","",'別紙様式2-2（４・５月分）'!N21)</f>
        <v/>
      </c>
      <c r="AW23" s="1305"/>
      <c r="AX23" s="1474"/>
      <c r="AY23" s="430"/>
      <c r="BD23" s="340"/>
      <c r="BE23" s="1303" t="str">
        <f>G22</f>
        <v/>
      </c>
      <c r="BF23" s="1303"/>
      <c r="BG23" s="1303"/>
    </row>
    <row r="24" spans="1:59" ht="15" customHeight="1">
      <c r="A24" s="1295"/>
      <c r="B24" s="1235"/>
      <c r="C24" s="1236"/>
      <c r="D24" s="1236"/>
      <c r="E24" s="1236"/>
      <c r="F24" s="1237"/>
      <c r="G24" s="1252"/>
      <c r="H24" s="1252"/>
      <c r="I24" s="1252"/>
      <c r="J24" s="1415"/>
      <c r="K24" s="1252"/>
      <c r="L24" s="1421"/>
      <c r="M24" s="1372"/>
      <c r="N24" s="1393"/>
      <c r="O24" s="1373" t="s">
        <v>2025</v>
      </c>
      <c r="P24" s="1425" t="str">
        <f>IFERROR(VLOOKUP('別紙様式2-2（４・５月分）'!AQ20,【参考】数式用!$AR$5:$AT$22,3,FALSE),"")</f>
        <v/>
      </c>
      <c r="Q24" s="1377" t="s">
        <v>2036</v>
      </c>
      <c r="R24" s="1508" t="str">
        <f>IFERROR(VLOOKUP(K22,【参考】数式用!$A$5:$AB$37,MATCH(P24,【参考】数式用!$B$4:$AB$4,0)+1,0),"")</f>
        <v/>
      </c>
      <c r="S24" s="1381" t="s">
        <v>2109</v>
      </c>
      <c r="T24" s="1510"/>
      <c r="U24" s="1506" t="str">
        <f>IFERROR(VLOOKUP(K22,【参考】数式用!$A$5:$AB$37,MATCH(T24,【参考】数式用!$B$4:$AB$4,0)+1,0),"")</f>
        <v/>
      </c>
      <c r="V24" s="1387" t="s">
        <v>15</v>
      </c>
      <c r="W24" s="1504"/>
      <c r="X24" s="1363" t="s">
        <v>10</v>
      </c>
      <c r="Y24" s="1504"/>
      <c r="Z24" s="1363" t="s">
        <v>38</v>
      </c>
      <c r="AA24" s="1504"/>
      <c r="AB24" s="1363" t="s">
        <v>10</v>
      </c>
      <c r="AC24" s="1504"/>
      <c r="AD24" s="1363" t="s">
        <v>2020</v>
      </c>
      <c r="AE24" s="1363" t="s">
        <v>20</v>
      </c>
      <c r="AF24" s="1363" t="str">
        <f>IF(W24&gt;=1,(AA24*12+AC24)-(W24*12+Y24)+1,"")</f>
        <v/>
      </c>
      <c r="AG24" s="1359" t="s">
        <v>33</v>
      </c>
      <c r="AH24" s="1365" t="str">
        <f t="shared" ref="AH24" si="9">IFERROR(ROUNDDOWN(ROUND(L22*U24,0),0)*AF24,"")</f>
        <v/>
      </c>
      <c r="AI24" s="1498" t="str">
        <f t="shared" ref="AI24" si="10">IFERROR(ROUNDDOWN(ROUND((L22*(U24-AW22)),0),0)*AF24,"")</f>
        <v/>
      </c>
      <c r="AJ24" s="1369" t="str">
        <f>IFERROR(ROUNDDOWN(ROUNDDOWN(ROUND(L22*VLOOKUP(K22,【参考】数式用!$A$5:$AB$27,MATCH("新加算Ⅳ",【参考】数式用!$B$4:$AB$4,0)+1,0),0),0)*AF24*0.5,0),"")</f>
        <v/>
      </c>
      <c r="AK24" s="1500"/>
      <c r="AL24" s="1502" t="str">
        <f>IFERROR(IF('別紙様式2-2（４・５月分）'!P24="ベア加算","", IF(OR(T24="新加算Ⅰ",T24="新加算Ⅱ",T24="新加算Ⅲ",T24="新加算Ⅳ"),ROUNDDOWN(ROUND(L22*VLOOKUP(K22,【参考】数式用!$A$5:$I$27,MATCH("ベア加算",【参考】数式用!$B$4:$I$4,0)+1,0),0),0)*AF24,"")),"")</f>
        <v/>
      </c>
      <c r="AM24" s="1494"/>
      <c r="AN24" s="1475"/>
      <c r="AO24" s="1496"/>
      <c r="AP24" s="1475"/>
      <c r="AQ24" s="1477"/>
      <c r="AR24" s="1479"/>
      <c r="AS24" s="1483"/>
      <c r="AT24" s="451"/>
      <c r="AU24" s="1303" t="str">
        <f>IF(AND(AA22&lt;&gt;7,AC22&lt;&gt;3),"V列に色付け","")</f>
        <v/>
      </c>
      <c r="AV24" s="1304"/>
      <c r="AW24" s="1305"/>
      <c r="AX24" s="574"/>
      <c r="AY24" s="1222" t="str">
        <f>IF(AL24&lt;&gt;"",IF(AM24="○","入力済","未入力"),"")</f>
        <v/>
      </c>
      <c r="AZ24" s="1222"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2" t="str">
        <f>IF(OR(T24="新加算Ⅴ（７）",T24="新加算Ⅴ（９）",T24="新加算Ⅴ（10）",T24="新加算Ⅴ（12）",T24="新加算Ⅴ（13）",T24="新加算Ⅴ（14）"),IF(OR(AO24="○",AO24="令和６年度中に満たす"),"入力済","未入力"),"")</f>
        <v/>
      </c>
      <c r="BB24" s="1222" t="str">
        <f>IF(OR(T24="新加算Ⅰ",T24="新加算Ⅱ",T24="新加算Ⅲ",T24="新加算Ⅴ（１）",T24="新加算Ⅴ（３）",T24="新加算Ⅴ（８）"),IF(OR(AP24="○",AP24="令和６年度中に満たす"),"入力済","未入力"),"")</f>
        <v/>
      </c>
      <c r="BC24" s="1472" t="str">
        <f t="shared" ref="BC24" si="11">IF(OR(T24="新加算Ⅰ",T24="新加算Ⅱ",T24="新加算Ⅴ（１）",T24="新加算Ⅴ（２）",T24="新加算Ⅴ（３）",T24="新加算Ⅴ（４）",T24="新加算Ⅴ（５）",T24="新加算Ⅴ（６）",T24="新加算Ⅴ（７）",T24="新加算Ⅴ（９）",T24="新加算Ⅴ（10）",T24="新加算Ⅴ（12）"),IF(AQ24&lt;&gt;"",1,""),"")</f>
        <v/>
      </c>
      <c r="BD24" s="1303" t="str">
        <f>IF(OR(T24="新加算Ⅰ",T24="新加算Ⅴ（１）",T24="新加算Ⅴ（２）",T24="新加算Ⅴ（５）",T24="新加算Ⅴ（７）",T24="新加算Ⅴ（10）"),IF(AR24="","未入力","入力済"),"")</f>
        <v/>
      </c>
      <c r="BE24" s="1303" t="str">
        <f>G22</f>
        <v/>
      </c>
      <c r="BF24" s="1303"/>
      <c r="BG24" s="1303"/>
    </row>
    <row r="25" spans="1:59" ht="30" customHeight="1" thickBot="1">
      <c r="A25" s="1268"/>
      <c r="B25" s="1411"/>
      <c r="C25" s="1412"/>
      <c r="D25" s="1412"/>
      <c r="E25" s="1412"/>
      <c r="F25" s="1413"/>
      <c r="G25" s="1253"/>
      <c r="H25" s="1253"/>
      <c r="I25" s="1253"/>
      <c r="J25" s="1416"/>
      <c r="K25" s="1253"/>
      <c r="L25" s="1422"/>
      <c r="M25" s="553" t="str">
        <f>IF('別紙様式2-2（４・５月分）'!P22="","",'別紙様式2-2（４・５月分）'!P22)</f>
        <v/>
      </c>
      <c r="N25" s="1394"/>
      <c r="O25" s="1374"/>
      <c r="P25" s="1426"/>
      <c r="Q25" s="1378"/>
      <c r="R25" s="1509"/>
      <c r="S25" s="1382"/>
      <c r="T25" s="1511"/>
      <c r="U25" s="1507"/>
      <c r="V25" s="1388"/>
      <c r="W25" s="1505"/>
      <c r="X25" s="1364"/>
      <c r="Y25" s="1505"/>
      <c r="Z25" s="1364"/>
      <c r="AA25" s="1505"/>
      <c r="AB25" s="1364"/>
      <c r="AC25" s="1505"/>
      <c r="AD25" s="1364"/>
      <c r="AE25" s="1364"/>
      <c r="AF25" s="1364"/>
      <c r="AG25" s="1360"/>
      <c r="AH25" s="1366"/>
      <c r="AI25" s="1499"/>
      <c r="AJ25" s="1370"/>
      <c r="AK25" s="1501"/>
      <c r="AL25" s="1503"/>
      <c r="AM25" s="1495"/>
      <c r="AN25" s="1476"/>
      <c r="AO25" s="1497"/>
      <c r="AP25" s="1476"/>
      <c r="AQ25" s="1478"/>
      <c r="AR25" s="1480"/>
      <c r="AS25" s="575"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1"/>
      <c r="AU25" s="1303"/>
      <c r="AV25" s="555" t="str">
        <f>IF('別紙様式2-2（４・５月分）'!N22="","",'別紙様式2-2（４・５月分）'!N22)</f>
        <v/>
      </c>
      <c r="AW25" s="1305"/>
      <c r="AX25" s="576"/>
      <c r="AY25" s="1222" t="str">
        <f>IF(OR(T25="新加算Ⅰ",T25="新加算Ⅱ",T25="新加算Ⅲ",T25="新加算Ⅳ",T25="新加算Ⅴ（１）",T25="新加算Ⅴ（２）",T25="新加算Ⅴ（３）",T25="新加算ⅠⅤ（４）",T25="新加算Ⅴ（５）",T25="新加算Ⅴ（６）",T25="新加算Ⅴ（８）",T25="新加算Ⅴ（11）"),IF(AI25="○","","未入力"),"")</f>
        <v/>
      </c>
      <c r="AZ25" s="1222" t="str">
        <f>IF(OR(U25="新加算Ⅰ",U25="新加算Ⅱ",U25="新加算Ⅲ",U25="新加算Ⅳ",U25="新加算Ⅴ（１）",U25="新加算Ⅴ（２）",U25="新加算Ⅴ（３）",U25="新加算ⅠⅤ（４）",U25="新加算Ⅴ（５）",U25="新加算Ⅴ（６）",U25="新加算Ⅴ（８）",U25="新加算Ⅴ（11）"),IF(AJ25="○","","未入力"),"")</f>
        <v/>
      </c>
      <c r="BA25" s="1222" t="str">
        <f>IF(OR(U25="新加算Ⅴ（７）",U25="新加算Ⅴ（９）",U25="新加算Ⅴ（10）",U25="新加算Ⅴ（12）",U25="新加算Ⅴ（13）",U25="新加算Ⅴ（14）"),IF(AK25="○","","未入力"),"")</f>
        <v/>
      </c>
      <c r="BB25" s="1222" t="str">
        <f>IF(OR(U25="新加算Ⅰ",U25="新加算Ⅱ",U25="新加算Ⅲ",U25="新加算Ⅴ（１）",U25="新加算Ⅴ（３）",U25="新加算Ⅴ（８）"),IF(AL25="○","","未入力"),"")</f>
        <v/>
      </c>
      <c r="BC25" s="1472"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03" t="str">
        <f>IF(AND(T25&lt;&gt;"（参考）令和７年度の移行予定",OR(U25="新加算Ⅰ",U25="新加算Ⅴ（１）",U25="新加算Ⅴ（２）",U25="新加算Ⅴ（５）",U25="新加算Ⅴ（７）",U25="新加算Ⅴ（10）")),IF(AN25="","未入力",IF(AN25="いずれも取得していない","要件を満たさない","")),"")</f>
        <v/>
      </c>
      <c r="BE25" s="1303" t="str">
        <f>G22</f>
        <v/>
      </c>
      <c r="BF25" s="1303"/>
      <c r="BG25" s="1303"/>
    </row>
    <row r="26" spans="1:59" ht="30" customHeight="1">
      <c r="A26" s="1293">
        <v>4</v>
      </c>
      <c r="B26" s="1235" t="str">
        <f>IF(基本情報入力シート!C57="","",基本情報入力シート!C57)</f>
        <v/>
      </c>
      <c r="C26" s="1236"/>
      <c r="D26" s="1236"/>
      <c r="E26" s="1236"/>
      <c r="F26" s="1237"/>
      <c r="G26" s="1252" t="str">
        <f>IF(基本情報入力シート!M57="","",基本情報入力シート!M57)</f>
        <v/>
      </c>
      <c r="H26" s="1252" t="str">
        <f>IF(基本情報入力シート!R57="","",基本情報入力シート!R57)</f>
        <v/>
      </c>
      <c r="I26" s="1252" t="str">
        <f>IF(基本情報入力シート!W57="","",基本情報入力シート!W57)</f>
        <v/>
      </c>
      <c r="J26" s="1415" t="str">
        <f>IF(基本情報入力シート!X57="","",基本情報入力シート!X57)</f>
        <v/>
      </c>
      <c r="K26" s="1252" t="str">
        <f>IF(基本情報入力シート!Y57="","",基本情報入力シート!Y57)</f>
        <v/>
      </c>
      <c r="L26" s="1421" t="str">
        <f>IF(基本情報入力シート!AB57="","",基本情報入力シート!AB57)</f>
        <v/>
      </c>
      <c r="M26" s="550" t="str">
        <f>IF('別紙様式2-2（４・５月分）'!P23="","",'別紙様式2-2（４・５月分）'!P23)</f>
        <v/>
      </c>
      <c r="N26" s="1391" t="str">
        <f>IF(SUM('別紙様式2-2（４・５月分）'!Q23:Q25)=0,"",SUM('別紙様式2-2（４・５月分）'!Q23:Q25))</f>
        <v/>
      </c>
      <c r="O26" s="1395" t="str">
        <f>IFERROR(VLOOKUP('別紙様式2-2（４・５月分）'!AQ23,【参考】数式用!$AR$5:$AS$22,2,FALSE),"")</f>
        <v/>
      </c>
      <c r="P26" s="1396"/>
      <c r="Q26" s="1397"/>
      <c r="R26" s="1531" t="str">
        <f>IFERROR(VLOOKUP(K26,【参考】数式用!$A$5:$AB$37,MATCH(O26,【参考】数式用!$B$4:$AB$4,0)+1,0),"")</f>
        <v/>
      </c>
      <c r="S26" s="1403" t="s">
        <v>2039</v>
      </c>
      <c r="T26" s="1527" t="str">
        <f>IF('別紙様式2-3（６月以降分）'!T26="","",'別紙様式2-3（６月以降分）'!T26)</f>
        <v/>
      </c>
      <c r="U26" s="1529" t="str">
        <f>IFERROR(VLOOKUP(K26,【参考】数式用!$A$5:$AB$37,MATCH(T26,【参考】数式用!$B$4:$AB$4,0)+1,0),"")</f>
        <v/>
      </c>
      <c r="V26" s="1409" t="s">
        <v>15</v>
      </c>
      <c r="W26" s="1525">
        <f>'別紙様式2-3（６月以降分）'!W26</f>
        <v>6</v>
      </c>
      <c r="X26" s="1349" t="s">
        <v>10</v>
      </c>
      <c r="Y26" s="1525">
        <f>'別紙様式2-3（６月以降分）'!Y26</f>
        <v>6</v>
      </c>
      <c r="Z26" s="1349" t="s">
        <v>38</v>
      </c>
      <c r="AA26" s="1525">
        <f>'別紙様式2-3（６月以降分）'!AA26</f>
        <v>7</v>
      </c>
      <c r="AB26" s="1349" t="s">
        <v>10</v>
      </c>
      <c r="AC26" s="1525">
        <f>'別紙様式2-3（６月以降分）'!AC26</f>
        <v>3</v>
      </c>
      <c r="AD26" s="1349" t="s">
        <v>2020</v>
      </c>
      <c r="AE26" s="1349" t="s">
        <v>20</v>
      </c>
      <c r="AF26" s="1349">
        <f>IF(W26&gt;=1,(AA26*12+AC26)-(W26*12+Y26)+1,"")</f>
        <v>10</v>
      </c>
      <c r="AG26" s="1351" t="s">
        <v>33</v>
      </c>
      <c r="AH26" s="1517" t="str">
        <f>'別紙様式2-3（６月以降分）'!AH26</f>
        <v/>
      </c>
      <c r="AI26" s="1519" t="str">
        <f>'別紙様式2-3（６月以降分）'!AI26</f>
        <v/>
      </c>
      <c r="AJ26" s="1521">
        <f>'別紙様式2-3（６月以降分）'!AJ26</f>
        <v>0</v>
      </c>
      <c r="AK26" s="1523" t="str">
        <f>IF('別紙様式2-3（６月以降分）'!AK26="","",'別紙様式2-3（６月以降分）'!AK26)</f>
        <v/>
      </c>
      <c r="AL26" s="1512">
        <f>'別紙様式2-3（６月以降分）'!AL26</f>
        <v>0</v>
      </c>
      <c r="AM26" s="1514" t="str">
        <f>IF('別紙様式2-3（６月以降分）'!AM26="","",'別紙様式2-3（６月以降分）'!AM26)</f>
        <v/>
      </c>
      <c r="AN26" s="1333" t="str">
        <f>IF('別紙様式2-3（６月以降分）'!AN26="","",'別紙様式2-3（６月以降分）'!AN26)</f>
        <v/>
      </c>
      <c r="AO26" s="1331" t="str">
        <f>IF('別紙様式2-3（６月以降分）'!AO26="","",'別紙様式2-3（６月以降分）'!AO26)</f>
        <v/>
      </c>
      <c r="AP26" s="1333" t="str">
        <f>IF('別紙様式2-3（６月以降分）'!AP26="","",'別紙様式2-3（６月以降分）'!AP26)</f>
        <v/>
      </c>
      <c r="AQ26" s="1481" t="str">
        <f>IF('別紙様式2-3（６月以降分）'!AQ26="","",'別紙様式2-3（６月以降分）'!AQ26)</f>
        <v/>
      </c>
      <c r="AR26" s="1484" t="str">
        <f>IF('別紙様式2-3（６月以降分）'!AR26="","",'別紙様式2-3（６月以降分）'!AR26)</f>
        <v/>
      </c>
      <c r="AS26" s="570" t="str">
        <f t="shared" ref="AS26" si="14">IF(AU28="","",IF(U28&lt;U26,"！加算の要件上は問題ありませんが、令和６年度当初の新加算の加算率と比較して、移行後の加算率が下がる計画になっています。",""))</f>
        <v/>
      </c>
      <c r="AT26" s="577"/>
      <c r="AU26" s="1301"/>
      <c r="AV26" s="555" t="str">
        <f>IF('別紙様式2-2（４・５月分）'!N23="","",'別紙様式2-2（４・５月分）'!N23)</f>
        <v/>
      </c>
      <c r="AW26" s="1305" t="str">
        <f>IF(SUM('別紙様式2-2（４・５月分）'!O23:O25)=0,"",SUM('別紙様式2-2（４・５月分）'!O23:O25))</f>
        <v/>
      </c>
      <c r="AX26" s="1473" t="str">
        <f>IFERROR(VLOOKUP(K26,【参考】数式用!$AH$2:$AI$34,2,FALSE),"")</f>
        <v/>
      </c>
      <c r="AY26" s="493"/>
      <c r="BD26" s="340"/>
      <c r="BE26" s="1303" t="str">
        <f>G26</f>
        <v/>
      </c>
      <c r="BF26" s="1303"/>
      <c r="BG26" s="1303"/>
    </row>
    <row r="27" spans="1:59" ht="15" customHeight="1">
      <c r="A27" s="1267"/>
      <c r="B27" s="1235"/>
      <c r="C27" s="1236"/>
      <c r="D27" s="1236"/>
      <c r="E27" s="1236"/>
      <c r="F27" s="1237"/>
      <c r="G27" s="1252"/>
      <c r="H27" s="1252"/>
      <c r="I27" s="1252"/>
      <c r="J27" s="1415"/>
      <c r="K27" s="1252"/>
      <c r="L27" s="1421"/>
      <c r="M27" s="1371" t="str">
        <f>IF('別紙様式2-2（４・５月分）'!P24="","",'別紙様式2-2（４・５月分）'!P24)</f>
        <v/>
      </c>
      <c r="N27" s="1392"/>
      <c r="O27" s="1398"/>
      <c r="P27" s="1399"/>
      <c r="Q27" s="1400"/>
      <c r="R27" s="1532"/>
      <c r="S27" s="1404"/>
      <c r="T27" s="1528"/>
      <c r="U27" s="1530"/>
      <c r="V27" s="1410"/>
      <c r="W27" s="1526"/>
      <c r="X27" s="1350"/>
      <c r="Y27" s="1526"/>
      <c r="Z27" s="1350"/>
      <c r="AA27" s="1526"/>
      <c r="AB27" s="1350"/>
      <c r="AC27" s="1526"/>
      <c r="AD27" s="1350"/>
      <c r="AE27" s="1350"/>
      <c r="AF27" s="1350"/>
      <c r="AG27" s="1352"/>
      <c r="AH27" s="1518"/>
      <c r="AI27" s="1520"/>
      <c r="AJ27" s="1522"/>
      <c r="AK27" s="1524"/>
      <c r="AL27" s="1513"/>
      <c r="AM27" s="1515"/>
      <c r="AN27" s="1334"/>
      <c r="AO27" s="1516"/>
      <c r="AP27" s="1334"/>
      <c r="AQ27" s="1482"/>
      <c r="AR27" s="1485"/>
      <c r="AS27" s="1483" t="str">
        <f t="shared" ref="AS27" si="15">IF(AU28="","",IF(OR(AA28="",AA28&lt;&gt;7,AC28="",AC28&lt;&gt;3),"！算定期間の終わりが令和７年３月になっていません。年度内の廃止予定等がなければ、算定対象月を令和７年３月にしてください。",""))</f>
        <v/>
      </c>
      <c r="AT27" s="577"/>
      <c r="AU27" s="1303"/>
      <c r="AV27" s="1304" t="str">
        <f>IF('別紙様式2-2（４・５月分）'!N24="","",'別紙様式2-2（４・５月分）'!N24)</f>
        <v/>
      </c>
      <c r="AW27" s="1305"/>
      <c r="AX27" s="1474"/>
      <c r="AY27" s="430"/>
      <c r="BD27" s="340"/>
      <c r="BE27" s="1303" t="str">
        <f>G26</f>
        <v/>
      </c>
      <c r="BF27" s="1303"/>
      <c r="BG27" s="1303"/>
    </row>
    <row r="28" spans="1:59" ht="15" customHeight="1">
      <c r="A28" s="1295"/>
      <c r="B28" s="1235"/>
      <c r="C28" s="1236"/>
      <c r="D28" s="1236"/>
      <c r="E28" s="1236"/>
      <c r="F28" s="1237"/>
      <c r="G28" s="1252"/>
      <c r="H28" s="1252"/>
      <c r="I28" s="1252"/>
      <c r="J28" s="1415"/>
      <c r="K28" s="1252"/>
      <c r="L28" s="1421"/>
      <c r="M28" s="1372"/>
      <c r="N28" s="1393"/>
      <c r="O28" s="1373" t="s">
        <v>2025</v>
      </c>
      <c r="P28" s="1425" t="str">
        <f>IFERROR(VLOOKUP('別紙様式2-2（４・５月分）'!AQ23,【参考】数式用!$AR$5:$AT$22,3,FALSE),"")</f>
        <v/>
      </c>
      <c r="Q28" s="1377" t="s">
        <v>2036</v>
      </c>
      <c r="R28" s="1508" t="str">
        <f>IFERROR(VLOOKUP(K26,【参考】数式用!$A$5:$AB$37,MATCH(P28,【参考】数式用!$B$4:$AB$4,0)+1,0),"")</f>
        <v/>
      </c>
      <c r="S28" s="1381" t="s">
        <v>2109</v>
      </c>
      <c r="T28" s="1510"/>
      <c r="U28" s="1506" t="str">
        <f>IFERROR(VLOOKUP(K26,【参考】数式用!$A$5:$AB$37,MATCH(T28,【参考】数式用!$B$4:$AB$4,0)+1,0),"")</f>
        <v/>
      </c>
      <c r="V28" s="1387" t="s">
        <v>15</v>
      </c>
      <c r="W28" s="1504"/>
      <c r="X28" s="1363" t="s">
        <v>10</v>
      </c>
      <c r="Y28" s="1504"/>
      <c r="Z28" s="1363" t="s">
        <v>38</v>
      </c>
      <c r="AA28" s="1504"/>
      <c r="AB28" s="1363" t="s">
        <v>10</v>
      </c>
      <c r="AC28" s="1504"/>
      <c r="AD28" s="1363" t="s">
        <v>2020</v>
      </c>
      <c r="AE28" s="1363" t="s">
        <v>20</v>
      </c>
      <c r="AF28" s="1363" t="str">
        <f>IF(W28&gt;=1,(AA28*12+AC28)-(W28*12+Y28)+1,"")</f>
        <v/>
      </c>
      <c r="AG28" s="1359" t="s">
        <v>33</v>
      </c>
      <c r="AH28" s="1365" t="str">
        <f t="shared" ref="AH28" si="16">IFERROR(ROUNDDOWN(ROUND(L26*U28,0),0)*AF28,"")</f>
        <v/>
      </c>
      <c r="AI28" s="1498" t="str">
        <f t="shared" ref="AI28" si="17">IFERROR(ROUNDDOWN(ROUND((L26*(U28-AW26)),0),0)*AF28,"")</f>
        <v/>
      </c>
      <c r="AJ28" s="1369" t="str">
        <f>IFERROR(ROUNDDOWN(ROUNDDOWN(ROUND(L26*VLOOKUP(K26,【参考】数式用!$A$5:$AB$27,MATCH("新加算Ⅳ",【参考】数式用!$B$4:$AB$4,0)+1,0),0),0)*AF28*0.5,0),"")</f>
        <v/>
      </c>
      <c r="AK28" s="1500"/>
      <c r="AL28" s="1502" t="str">
        <f>IFERROR(IF('別紙様式2-2（４・５月分）'!P28="ベア加算","", IF(OR(T28="新加算Ⅰ",T28="新加算Ⅱ",T28="新加算Ⅲ",T28="新加算Ⅳ"),ROUNDDOWN(ROUND(L26*VLOOKUP(K26,【参考】数式用!$A$5:$I$27,MATCH("ベア加算",【参考】数式用!$B$4:$I$4,0)+1,0),0),0)*AF28,"")),"")</f>
        <v/>
      </c>
      <c r="AM28" s="1494"/>
      <c r="AN28" s="1475"/>
      <c r="AO28" s="1496"/>
      <c r="AP28" s="1475"/>
      <c r="AQ28" s="1477"/>
      <c r="AR28" s="1479"/>
      <c r="AS28" s="1483"/>
      <c r="AT28" s="451"/>
      <c r="AU28" s="1303" t="str">
        <f>IF(AND(AA26&lt;&gt;7,AC26&lt;&gt;3),"V列に色付け","")</f>
        <v/>
      </c>
      <c r="AV28" s="1304"/>
      <c r="AW28" s="1305"/>
      <c r="AX28" s="574"/>
      <c r="AY28" s="1222" t="str">
        <f>IF(AL28&lt;&gt;"",IF(AM28="○","入力済","未入力"),"")</f>
        <v/>
      </c>
      <c r="AZ28" s="1222"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2" t="str">
        <f>IF(OR(T28="新加算Ⅴ（７）",T28="新加算Ⅴ（９）",T28="新加算Ⅴ（10）",T28="新加算Ⅴ（12）",T28="新加算Ⅴ（13）",T28="新加算Ⅴ（14）"),IF(OR(AO28="○",AO28="令和６年度中に満たす"),"入力済","未入力"),"")</f>
        <v/>
      </c>
      <c r="BB28" s="1222" t="str">
        <f>IF(OR(T28="新加算Ⅰ",T28="新加算Ⅱ",T28="新加算Ⅲ",T28="新加算Ⅴ（１）",T28="新加算Ⅴ（３）",T28="新加算Ⅴ（８）"),IF(OR(AP28="○",AP28="令和６年度中に満たす"),"入力済","未入力"),"")</f>
        <v/>
      </c>
      <c r="BC28" s="1472" t="str">
        <f t="shared" ref="BC28" si="18">IF(OR(T28="新加算Ⅰ",T28="新加算Ⅱ",T28="新加算Ⅴ（１）",T28="新加算Ⅴ（２）",T28="新加算Ⅴ（３）",T28="新加算Ⅴ（４）",T28="新加算Ⅴ（５）",T28="新加算Ⅴ（６）",T28="新加算Ⅴ（７）",T28="新加算Ⅴ（９）",T28="新加算Ⅴ（10）",T28="新加算Ⅴ（12）"),IF(AQ28&lt;&gt;"",1,""),"")</f>
        <v/>
      </c>
      <c r="BD28" s="1303" t="str">
        <f>IF(OR(T28="新加算Ⅰ",T28="新加算Ⅴ（１）",T28="新加算Ⅴ（２）",T28="新加算Ⅴ（５）",T28="新加算Ⅴ（７）",T28="新加算Ⅴ（10）"),IF(AR28="","未入力","入力済"),"")</f>
        <v/>
      </c>
      <c r="BE28" s="1303" t="str">
        <f>G26</f>
        <v/>
      </c>
      <c r="BF28" s="1303"/>
      <c r="BG28" s="1303"/>
    </row>
    <row r="29" spans="1:59" ht="30" customHeight="1" thickBot="1">
      <c r="A29" s="1268"/>
      <c r="B29" s="1411"/>
      <c r="C29" s="1412"/>
      <c r="D29" s="1412"/>
      <c r="E29" s="1412"/>
      <c r="F29" s="1413"/>
      <c r="G29" s="1253"/>
      <c r="H29" s="1253"/>
      <c r="I29" s="1253"/>
      <c r="J29" s="1416"/>
      <c r="K29" s="1253"/>
      <c r="L29" s="1422"/>
      <c r="M29" s="553" t="str">
        <f>IF('別紙様式2-2（４・５月分）'!P25="","",'別紙様式2-2（４・５月分）'!P25)</f>
        <v/>
      </c>
      <c r="N29" s="1394"/>
      <c r="O29" s="1374"/>
      <c r="P29" s="1426"/>
      <c r="Q29" s="1378"/>
      <c r="R29" s="1509"/>
      <c r="S29" s="1382"/>
      <c r="T29" s="1511"/>
      <c r="U29" s="1507"/>
      <c r="V29" s="1388"/>
      <c r="W29" s="1505"/>
      <c r="X29" s="1364"/>
      <c r="Y29" s="1505"/>
      <c r="Z29" s="1364"/>
      <c r="AA29" s="1505"/>
      <c r="AB29" s="1364"/>
      <c r="AC29" s="1505"/>
      <c r="AD29" s="1364"/>
      <c r="AE29" s="1364"/>
      <c r="AF29" s="1364"/>
      <c r="AG29" s="1360"/>
      <c r="AH29" s="1366"/>
      <c r="AI29" s="1499"/>
      <c r="AJ29" s="1370"/>
      <c r="AK29" s="1501"/>
      <c r="AL29" s="1503"/>
      <c r="AM29" s="1495"/>
      <c r="AN29" s="1476"/>
      <c r="AO29" s="1497"/>
      <c r="AP29" s="1476"/>
      <c r="AQ29" s="1478"/>
      <c r="AR29" s="1480"/>
      <c r="AS29" s="575"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1"/>
      <c r="AU29" s="1303"/>
      <c r="AV29" s="555" t="str">
        <f>IF('別紙様式2-2（４・５月分）'!N25="","",'別紙様式2-2（４・５月分）'!N25)</f>
        <v/>
      </c>
      <c r="AW29" s="1305"/>
      <c r="AX29" s="576"/>
      <c r="AY29" s="1222" t="str">
        <f>IF(OR(T29="新加算Ⅰ",T29="新加算Ⅱ",T29="新加算Ⅲ",T29="新加算Ⅳ",T29="新加算Ⅴ（１）",T29="新加算Ⅴ（２）",T29="新加算Ⅴ（３）",T29="新加算ⅠⅤ（４）",T29="新加算Ⅴ（５）",T29="新加算Ⅴ（６）",T29="新加算Ⅴ（８）",T29="新加算Ⅴ（11）"),IF(AI29="○","","未入力"),"")</f>
        <v/>
      </c>
      <c r="AZ29" s="1222" t="str">
        <f>IF(OR(U29="新加算Ⅰ",U29="新加算Ⅱ",U29="新加算Ⅲ",U29="新加算Ⅳ",U29="新加算Ⅴ（１）",U29="新加算Ⅴ（２）",U29="新加算Ⅴ（３）",U29="新加算ⅠⅤ（４）",U29="新加算Ⅴ（５）",U29="新加算Ⅴ（６）",U29="新加算Ⅴ（８）",U29="新加算Ⅴ（11）"),IF(AJ29="○","","未入力"),"")</f>
        <v/>
      </c>
      <c r="BA29" s="1222" t="str">
        <f>IF(OR(U29="新加算Ⅴ（７）",U29="新加算Ⅴ（９）",U29="新加算Ⅴ（10）",U29="新加算Ⅴ（12）",U29="新加算Ⅴ（13）",U29="新加算Ⅴ（14）"),IF(AK29="○","","未入力"),"")</f>
        <v/>
      </c>
      <c r="BB29" s="1222" t="str">
        <f>IF(OR(U29="新加算Ⅰ",U29="新加算Ⅱ",U29="新加算Ⅲ",U29="新加算Ⅴ（１）",U29="新加算Ⅴ（３）",U29="新加算Ⅴ（８）"),IF(AL29="○","","未入力"),"")</f>
        <v/>
      </c>
      <c r="BC29" s="1472"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03" t="str">
        <f>IF(AND(T29&lt;&gt;"（参考）令和７年度の移行予定",OR(U29="新加算Ⅰ",U29="新加算Ⅴ（１）",U29="新加算Ⅴ（２）",U29="新加算Ⅴ（５）",U29="新加算Ⅴ（７）",U29="新加算Ⅴ（10）")),IF(AN29="","未入力",IF(AN29="いずれも取得していない","要件を満たさない","")),"")</f>
        <v/>
      </c>
      <c r="BE29" s="1303" t="str">
        <f>G26</f>
        <v/>
      </c>
      <c r="BF29" s="1303"/>
      <c r="BG29" s="1303"/>
    </row>
    <row r="30" spans="1:59" ht="30" customHeight="1">
      <c r="A30" s="1266">
        <v>5</v>
      </c>
      <c r="B30" s="1232" t="str">
        <f>IF(基本情報入力シート!C58="","",基本情報入力シート!C58)</f>
        <v/>
      </c>
      <c r="C30" s="1233"/>
      <c r="D30" s="1233"/>
      <c r="E30" s="1233"/>
      <c r="F30" s="1234"/>
      <c r="G30" s="1251" t="str">
        <f>IF(基本情報入力シート!M58="","",基本情報入力シート!M58)</f>
        <v/>
      </c>
      <c r="H30" s="1251" t="str">
        <f>IF(基本情報入力シート!R58="","",基本情報入力シート!R58)</f>
        <v/>
      </c>
      <c r="I30" s="1251" t="str">
        <f>IF(基本情報入力シート!W58="","",基本情報入力シート!W58)</f>
        <v/>
      </c>
      <c r="J30" s="1414" t="str">
        <f>IF(基本情報入力シート!X58="","",基本情報入力シート!X58)</f>
        <v/>
      </c>
      <c r="K30" s="1251" t="str">
        <f>IF(基本情報入力シート!Y58="","",基本情報入力シート!Y58)</f>
        <v/>
      </c>
      <c r="L30" s="1427" t="str">
        <f>IF(基本情報入力シート!AB58="","",基本情報入力シート!AB58)</f>
        <v/>
      </c>
      <c r="M30" s="550" t="str">
        <f>IF('別紙様式2-2（４・５月分）'!P26="","",'別紙様式2-2（４・５月分）'!P26)</f>
        <v/>
      </c>
      <c r="N30" s="1391" t="str">
        <f>IF(SUM('別紙様式2-2（４・５月分）'!Q26:Q28)=0,"",SUM('別紙様式2-2（４・５月分）'!Q26:Q28))</f>
        <v/>
      </c>
      <c r="O30" s="1395" t="str">
        <f>IFERROR(VLOOKUP('別紙様式2-2（４・５月分）'!AQ26,【参考】数式用!$AR$5:$AS$22,2,FALSE),"")</f>
        <v/>
      </c>
      <c r="P30" s="1396"/>
      <c r="Q30" s="1397"/>
      <c r="R30" s="1531" t="str">
        <f>IFERROR(VLOOKUP(K30,【参考】数式用!$A$5:$AB$37,MATCH(O30,【参考】数式用!$B$4:$AB$4,0)+1,0),"")</f>
        <v/>
      </c>
      <c r="S30" s="1403" t="s">
        <v>2039</v>
      </c>
      <c r="T30" s="1527" t="str">
        <f>IF('別紙様式2-3（６月以降分）'!T30="","",'別紙様式2-3（６月以降分）'!T30)</f>
        <v/>
      </c>
      <c r="U30" s="1529" t="str">
        <f>IFERROR(VLOOKUP(K30,【参考】数式用!$A$5:$AB$37,MATCH(T30,【参考】数式用!$B$4:$AB$4,0)+1,0),"")</f>
        <v/>
      </c>
      <c r="V30" s="1409" t="s">
        <v>15</v>
      </c>
      <c r="W30" s="1525">
        <f>'別紙様式2-3（６月以降分）'!W30</f>
        <v>6</v>
      </c>
      <c r="X30" s="1349" t="s">
        <v>10</v>
      </c>
      <c r="Y30" s="1525">
        <f>'別紙様式2-3（６月以降分）'!Y30</f>
        <v>6</v>
      </c>
      <c r="Z30" s="1349" t="s">
        <v>38</v>
      </c>
      <c r="AA30" s="1525">
        <f>'別紙様式2-3（６月以降分）'!AA30</f>
        <v>7</v>
      </c>
      <c r="AB30" s="1349" t="s">
        <v>10</v>
      </c>
      <c r="AC30" s="1525">
        <f>'別紙様式2-3（６月以降分）'!AC30</f>
        <v>3</v>
      </c>
      <c r="AD30" s="1349" t="s">
        <v>2020</v>
      </c>
      <c r="AE30" s="1349" t="s">
        <v>20</v>
      </c>
      <c r="AF30" s="1349">
        <f>IF(W30&gt;=1,(AA30*12+AC30)-(W30*12+Y30)+1,"")</f>
        <v>10</v>
      </c>
      <c r="AG30" s="1351" t="s">
        <v>33</v>
      </c>
      <c r="AH30" s="1517" t="str">
        <f>'別紙様式2-3（６月以降分）'!AH30</f>
        <v/>
      </c>
      <c r="AI30" s="1519" t="str">
        <f>'別紙様式2-3（６月以降分）'!AI30</f>
        <v/>
      </c>
      <c r="AJ30" s="1521">
        <f>'別紙様式2-3（６月以降分）'!AJ30</f>
        <v>0</v>
      </c>
      <c r="AK30" s="1523" t="str">
        <f>IF('別紙様式2-3（６月以降分）'!AK30="","",'別紙様式2-3（６月以降分）'!AK30)</f>
        <v/>
      </c>
      <c r="AL30" s="1512">
        <f>'別紙様式2-3（６月以降分）'!AL30</f>
        <v>0</v>
      </c>
      <c r="AM30" s="1514" t="str">
        <f>IF('別紙様式2-3（６月以降分）'!AM30="","",'別紙様式2-3（６月以降分）'!AM30)</f>
        <v/>
      </c>
      <c r="AN30" s="1333" t="str">
        <f>IF('別紙様式2-3（６月以降分）'!AN30="","",'別紙様式2-3（６月以降分）'!AN30)</f>
        <v/>
      </c>
      <c r="AO30" s="1331" t="str">
        <f>IF('別紙様式2-3（６月以降分）'!AO30="","",'別紙様式2-3（６月以降分）'!AO30)</f>
        <v/>
      </c>
      <c r="AP30" s="1333" t="str">
        <f>IF('別紙様式2-3（６月以降分）'!AP30="","",'別紙様式2-3（６月以降分）'!AP30)</f>
        <v/>
      </c>
      <c r="AQ30" s="1481" t="str">
        <f>IF('別紙様式2-3（６月以降分）'!AQ30="","",'別紙様式2-3（６月以降分）'!AQ30)</f>
        <v/>
      </c>
      <c r="AR30" s="1484" t="str">
        <f>IF('別紙様式2-3（６月以降分）'!AR30="","",'別紙様式2-3（６月以降分）'!AR30)</f>
        <v/>
      </c>
      <c r="AS30" s="570" t="str">
        <f t="shared" ref="AS30" si="21">IF(AU32="","",IF(U32&lt;U30,"！加算の要件上は問題ありませんが、令和６年度当初の新加算の加算率と比較して、移行後の加算率が下がる計画になっています。",""))</f>
        <v/>
      </c>
      <c r="AT30" s="577"/>
      <c r="AU30" s="1301"/>
      <c r="AV30" s="555" t="str">
        <f>IF('別紙様式2-2（４・５月分）'!N26="","",'別紙様式2-2（４・５月分）'!N26)</f>
        <v/>
      </c>
      <c r="AW30" s="1305" t="str">
        <f>IF(SUM('別紙様式2-2（４・５月分）'!O26:O28)=0,"",SUM('別紙様式2-2（４・５月分）'!O26:O28))</f>
        <v/>
      </c>
      <c r="AX30" s="1473" t="str">
        <f>IFERROR(VLOOKUP(K30,【参考】数式用!$AH$2:$AI$34,2,FALSE),"")</f>
        <v/>
      </c>
      <c r="AY30" s="493"/>
      <c r="BD30" s="340"/>
      <c r="BE30" s="1303" t="str">
        <f>G30</f>
        <v/>
      </c>
      <c r="BF30" s="1303"/>
      <c r="BG30" s="1303"/>
    </row>
    <row r="31" spans="1:59" ht="15" customHeight="1">
      <c r="A31" s="1267"/>
      <c r="B31" s="1235"/>
      <c r="C31" s="1236"/>
      <c r="D31" s="1236"/>
      <c r="E31" s="1236"/>
      <c r="F31" s="1237"/>
      <c r="G31" s="1252"/>
      <c r="H31" s="1252"/>
      <c r="I31" s="1252"/>
      <c r="J31" s="1415"/>
      <c r="K31" s="1252"/>
      <c r="L31" s="1421"/>
      <c r="M31" s="1371" t="str">
        <f>IF('別紙様式2-2（４・５月分）'!P27="","",'別紙様式2-2（４・５月分）'!P27)</f>
        <v/>
      </c>
      <c r="N31" s="1392"/>
      <c r="O31" s="1398"/>
      <c r="P31" s="1399"/>
      <c r="Q31" s="1400"/>
      <c r="R31" s="1532"/>
      <c r="S31" s="1404"/>
      <c r="T31" s="1528"/>
      <c r="U31" s="1530"/>
      <c r="V31" s="1410"/>
      <c r="W31" s="1526"/>
      <c r="X31" s="1350"/>
      <c r="Y31" s="1526"/>
      <c r="Z31" s="1350"/>
      <c r="AA31" s="1526"/>
      <c r="AB31" s="1350"/>
      <c r="AC31" s="1526"/>
      <c r="AD31" s="1350"/>
      <c r="AE31" s="1350"/>
      <c r="AF31" s="1350"/>
      <c r="AG31" s="1352"/>
      <c r="AH31" s="1518"/>
      <c r="AI31" s="1520"/>
      <c r="AJ31" s="1522"/>
      <c r="AK31" s="1524"/>
      <c r="AL31" s="1513"/>
      <c r="AM31" s="1515"/>
      <c r="AN31" s="1334"/>
      <c r="AO31" s="1516"/>
      <c r="AP31" s="1334"/>
      <c r="AQ31" s="1482"/>
      <c r="AR31" s="1485"/>
      <c r="AS31" s="1483" t="str">
        <f t="shared" ref="AS31" si="22">IF(AU32="","",IF(OR(AA32="",AA32&lt;&gt;7,AC32="",AC32&lt;&gt;3),"！算定期間の終わりが令和７年３月になっていません。年度内の廃止予定等がなければ、算定対象月を令和７年３月にしてください。",""))</f>
        <v/>
      </c>
      <c r="AT31" s="577"/>
      <c r="AU31" s="1303"/>
      <c r="AV31" s="1304" t="str">
        <f>IF('別紙様式2-2（４・５月分）'!N27="","",'別紙様式2-2（４・５月分）'!N27)</f>
        <v/>
      </c>
      <c r="AW31" s="1305"/>
      <c r="AX31" s="1474"/>
      <c r="AY31" s="430"/>
      <c r="BD31" s="340"/>
      <c r="BE31" s="1303" t="str">
        <f>G30</f>
        <v/>
      </c>
      <c r="BF31" s="1303"/>
      <c r="BG31" s="1303"/>
    </row>
    <row r="32" spans="1:59" ht="15" customHeight="1">
      <c r="A32" s="1295"/>
      <c r="B32" s="1235"/>
      <c r="C32" s="1236"/>
      <c r="D32" s="1236"/>
      <c r="E32" s="1236"/>
      <c r="F32" s="1237"/>
      <c r="G32" s="1252"/>
      <c r="H32" s="1252"/>
      <c r="I32" s="1252"/>
      <c r="J32" s="1415"/>
      <c r="K32" s="1252"/>
      <c r="L32" s="1421"/>
      <c r="M32" s="1372"/>
      <c r="N32" s="1393"/>
      <c r="O32" s="1373" t="s">
        <v>2111</v>
      </c>
      <c r="P32" s="1425" t="str">
        <f>IFERROR(VLOOKUP('別紙様式2-2（４・５月分）'!AQ26,【参考】数式用!$AR$5:$AT$22,3,FALSE),"")</f>
        <v/>
      </c>
      <c r="Q32" s="1377" t="s">
        <v>2036</v>
      </c>
      <c r="R32" s="1508" t="str">
        <f>IFERROR(VLOOKUP(K30,【参考】数式用!$A$5:$AB$37,MATCH(P32,【参考】数式用!$B$4:$AB$4,0)+1,0),"")</f>
        <v/>
      </c>
      <c r="S32" s="1381" t="s">
        <v>2109</v>
      </c>
      <c r="T32" s="1510"/>
      <c r="U32" s="1506" t="str">
        <f>IFERROR(VLOOKUP(K30,【参考】数式用!$A$5:$AB$37,MATCH(T32,【参考】数式用!$B$4:$AB$4,0)+1,0),"")</f>
        <v/>
      </c>
      <c r="V32" s="1387" t="s">
        <v>15</v>
      </c>
      <c r="W32" s="1504"/>
      <c r="X32" s="1363" t="s">
        <v>10</v>
      </c>
      <c r="Y32" s="1504"/>
      <c r="Z32" s="1363" t="s">
        <v>38</v>
      </c>
      <c r="AA32" s="1504"/>
      <c r="AB32" s="1363" t="s">
        <v>10</v>
      </c>
      <c r="AC32" s="1504"/>
      <c r="AD32" s="1363" t="s">
        <v>2020</v>
      </c>
      <c r="AE32" s="1363" t="s">
        <v>20</v>
      </c>
      <c r="AF32" s="1363" t="str">
        <f>IF(W32&gt;=1,(AA32*12+AC32)-(W32*12+Y32)+1,"")</f>
        <v/>
      </c>
      <c r="AG32" s="1359" t="s">
        <v>33</v>
      </c>
      <c r="AH32" s="1365" t="str">
        <f t="shared" ref="AH32" si="23">IFERROR(ROUNDDOWN(ROUND(L30*U32,0),0)*AF32,"")</f>
        <v/>
      </c>
      <c r="AI32" s="1498" t="str">
        <f t="shared" ref="AI32" si="24">IFERROR(ROUNDDOWN(ROUND((L30*(U32-AW30)),0),0)*AF32,"")</f>
        <v/>
      </c>
      <c r="AJ32" s="1369" t="str">
        <f>IFERROR(ROUNDDOWN(ROUNDDOWN(ROUND(L30*VLOOKUP(K30,【参考】数式用!$A$5:$AB$27,MATCH("新加算Ⅳ",【参考】数式用!$B$4:$AB$4,0)+1,0),0),0)*AF32*0.5,0),"")</f>
        <v/>
      </c>
      <c r="AK32" s="1500"/>
      <c r="AL32" s="1502" t="str">
        <f>IFERROR(IF('別紙様式2-2（４・５月分）'!P32="ベア加算","", IF(OR(T32="新加算Ⅰ",T32="新加算Ⅱ",T32="新加算Ⅲ",T32="新加算Ⅳ"),ROUNDDOWN(ROUND(L30*VLOOKUP(K30,【参考】数式用!$A$5:$I$27,MATCH("ベア加算",【参考】数式用!$B$4:$I$4,0)+1,0),0),0)*AF32,"")),"")</f>
        <v/>
      </c>
      <c r="AM32" s="1494"/>
      <c r="AN32" s="1475"/>
      <c r="AO32" s="1496"/>
      <c r="AP32" s="1475"/>
      <c r="AQ32" s="1477"/>
      <c r="AR32" s="1479"/>
      <c r="AS32" s="1483"/>
      <c r="AT32" s="451"/>
      <c r="AU32" s="1303" t="str">
        <f>IF(AND(AA30&lt;&gt;7,AC30&lt;&gt;3),"V列に色付け","")</f>
        <v/>
      </c>
      <c r="AV32" s="1304"/>
      <c r="AW32" s="1305"/>
      <c r="AX32" s="574"/>
      <c r="AY32" s="1222" t="str">
        <f>IF(AL32&lt;&gt;"",IF(AM32="○","入力済","未入力"),"")</f>
        <v/>
      </c>
      <c r="AZ32" s="1222"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2" t="str">
        <f>IF(OR(T32="新加算Ⅴ（７）",T32="新加算Ⅴ（９）",T32="新加算Ⅴ（10）",T32="新加算Ⅴ（12）",T32="新加算Ⅴ（13）",T32="新加算Ⅴ（14）"),IF(OR(AO32="○",AO32="令和６年度中に満たす"),"入力済","未入力"),"")</f>
        <v/>
      </c>
      <c r="BB32" s="1222" t="str">
        <f>IF(OR(T32="新加算Ⅰ",T32="新加算Ⅱ",T32="新加算Ⅲ",T32="新加算Ⅴ（１）",T32="新加算Ⅴ（３）",T32="新加算Ⅴ（８）"),IF(OR(AP32="○",AP32="令和６年度中に満たす"),"入力済","未入力"),"")</f>
        <v/>
      </c>
      <c r="BC32" s="1472" t="str">
        <f t="shared" ref="BC32" si="25">IF(OR(T32="新加算Ⅰ",T32="新加算Ⅱ",T32="新加算Ⅴ（１）",T32="新加算Ⅴ（２）",T32="新加算Ⅴ（３）",T32="新加算Ⅴ（４）",T32="新加算Ⅴ（５）",T32="新加算Ⅴ（６）",T32="新加算Ⅴ（７）",T32="新加算Ⅴ（９）",T32="新加算Ⅴ（10）",T32="新加算Ⅴ（12）"),IF(AQ32&lt;&gt;"",1,""),"")</f>
        <v/>
      </c>
      <c r="BD32" s="1303" t="str">
        <f>IF(OR(T32="新加算Ⅰ",T32="新加算Ⅴ（１）",T32="新加算Ⅴ（２）",T32="新加算Ⅴ（５）",T32="新加算Ⅴ（７）",T32="新加算Ⅴ（10）"),IF(AR32="","未入力","入力済"),"")</f>
        <v/>
      </c>
      <c r="BE32" s="1303" t="str">
        <f>G30</f>
        <v/>
      </c>
      <c r="BF32" s="1303"/>
      <c r="BG32" s="1303"/>
    </row>
    <row r="33" spans="1:59" ht="30" customHeight="1" thickBot="1">
      <c r="A33" s="1268"/>
      <c r="B33" s="1411"/>
      <c r="C33" s="1412"/>
      <c r="D33" s="1412"/>
      <c r="E33" s="1412"/>
      <c r="F33" s="1413"/>
      <c r="G33" s="1253"/>
      <c r="H33" s="1253"/>
      <c r="I33" s="1253"/>
      <c r="J33" s="1416"/>
      <c r="K33" s="1253"/>
      <c r="L33" s="1422"/>
      <c r="M33" s="553" t="str">
        <f>IF('別紙様式2-2（４・５月分）'!P28="","",'別紙様式2-2（４・５月分）'!P28)</f>
        <v/>
      </c>
      <c r="N33" s="1394"/>
      <c r="O33" s="1374"/>
      <c r="P33" s="1426"/>
      <c r="Q33" s="1378"/>
      <c r="R33" s="1509"/>
      <c r="S33" s="1382"/>
      <c r="T33" s="1511"/>
      <c r="U33" s="1507"/>
      <c r="V33" s="1388"/>
      <c r="W33" s="1505"/>
      <c r="X33" s="1364"/>
      <c r="Y33" s="1505"/>
      <c r="Z33" s="1364"/>
      <c r="AA33" s="1505"/>
      <c r="AB33" s="1364"/>
      <c r="AC33" s="1505"/>
      <c r="AD33" s="1364"/>
      <c r="AE33" s="1364"/>
      <c r="AF33" s="1364"/>
      <c r="AG33" s="1360"/>
      <c r="AH33" s="1366"/>
      <c r="AI33" s="1499"/>
      <c r="AJ33" s="1370"/>
      <c r="AK33" s="1501"/>
      <c r="AL33" s="1503"/>
      <c r="AM33" s="1495"/>
      <c r="AN33" s="1476"/>
      <c r="AO33" s="1497"/>
      <c r="AP33" s="1476"/>
      <c r="AQ33" s="1478"/>
      <c r="AR33" s="1480"/>
      <c r="AS33" s="575"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1"/>
      <c r="AU33" s="1303"/>
      <c r="AV33" s="555" t="str">
        <f>IF('別紙様式2-2（４・５月分）'!N28="","",'別紙様式2-2（４・５月分）'!N28)</f>
        <v/>
      </c>
      <c r="AW33" s="1305"/>
      <c r="AX33" s="576"/>
      <c r="AY33" s="1222" t="str">
        <f>IF(OR(T33="新加算Ⅰ",T33="新加算Ⅱ",T33="新加算Ⅲ",T33="新加算Ⅳ",T33="新加算Ⅴ（１）",T33="新加算Ⅴ（２）",T33="新加算Ⅴ（３）",T33="新加算ⅠⅤ（４）",T33="新加算Ⅴ（５）",T33="新加算Ⅴ（６）",T33="新加算Ⅴ（８）",T33="新加算Ⅴ（11）"),IF(AI33="○","","未入力"),"")</f>
        <v/>
      </c>
      <c r="AZ33" s="1222" t="str">
        <f>IF(OR(U33="新加算Ⅰ",U33="新加算Ⅱ",U33="新加算Ⅲ",U33="新加算Ⅳ",U33="新加算Ⅴ（１）",U33="新加算Ⅴ（２）",U33="新加算Ⅴ（３）",U33="新加算ⅠⅤ（４）",U33="新加算Ⅴ（５）",U33="新加算Ⅴ（６）",U33="新加算Ⅴ（８）",U33="新加算Ⅴ（11）"),IF(AJ33="○","","未入力"),"")</f>
        <v/>
      </c>
      <c r="BA33" s="1222" t="str">
        <f>IF(OR(U33="新加算Ⅴ（７）",U33="新加算Ⅴ（９）",U33="新加算Ⅴ（10）",U33="新加算Ⅴ（12）",U33="新加算Ⅴ（13）",U33="新加算Ⅴ（14）"),IF(AK33="○","","未入力"),"")</f>
        <v/>
      </c>
      <c r="BB33" s="1222" t="str">
        <f>IF(OR(U33="新加算Ⅰ",U33="新加算Ⅱ",U33="新加算Ⅲ",U33="新加算Ⅴ（１）",U33="新加算Ⅴ（３）",U33="新加算Ⅴ（８）"),IF(AL33="○","","未入力"),"")</f>
        <v/>
      </c>
      <c r="BC33" s="1472"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03" t="str">
        <f>IF(AND(T33&lt;&gt;"（参考）令和７年度の移行予定",OR(U33="新加算Ⅰ",U33="新加算Ⅴ（１）",U33="新加算Ⅴ（２）",U33="新加算Ⅴ（５）",U33="新加算Ⅴ（７）",U33="新加算Ⅴ（10）")),IF(AN33="","未入力",IF(AN33="いずれも取得していない","要件を満たさない","")),"")</f>
        <v/>
      </c>
      <c r="BE33" s="1303" t="str">
        <f>G30</f>
        <v/>
      </c>
      <c r="BF33" s="1303"/>
      <c r="BG33" s="1303"/>
    </row>
    <row r="34" spans="1:59" ht="30" customHeight="1">
      <c r="A34" s="1293">
        <v>6</v>
      </c>
      <c r="B34" s="1235" t="str">
        <f>IF(基本情報入力シート!C59="","",基本情報入力シート!C59)</f>
        <v/>
      </c>
      <c r="C34" s="1236"/>
      <c r="D34" s="1236"/>
      <c r="E34" s="1236"/>
      <c r="F34" s="1237"/>
      <c r="G34" s="1252" t="str">
        <f>IF(基本情報入力シート!M59="","",基本情報入力シート!M59)</f>
        <v/>
      </c>
      <c r="H34" s="1252" t="str">
        <f>IF(基本情報入力シート!R59="","",基本情報入力シート!R59)</f>
        <v/>
      </c>
      <c r="I34" s="1252" t="str">
        <f>IF(基本情報入力シート!W59="","",基本情報入力シート!W59)</f>
        <v/>
      </c>
      <c r="J34" s="1415" t="str">
        <f>IF(基本情報入力シート!X59="","",基本情報入力シート!X59)</f>
        <v/>
      </c>
      <c r="K34" s="1252" t="str">
        <f>IF(基本情報入力シート!Y59="","",基本情報入力シート!Y59)</f>
        <v/>
      </c>
      <c r="L34" s="1421" t="str">
        <f>IF(基本情報入力シート!AB59="","",基本情報入力シート!AB59)</f>
        <v/>
      </c>
      <c r="M34" s="550" t="str">
        <f>IF('別紙様式2-2（４・５月分）'!P29="","",'別紙様式2-2（４・５月分）'!P29)</f>
        <v/>
      </c>
      <c r="N34" s="1391" t="str">
        <f>IF(SUM('別紙様式2-2（４・５月分）'!Q29:Q31)=0,"",SUM('別紙様式2-2（４・５月分）'!Q29:Q31))</f>
        <v/>
      </c>
      <c r="O34" s="1395" t="str">
        <f>IFERROR(VLOOKUP('別紙様式2-2（４・５月分）'!AQ29,【参考】数式用!$AR$5:$AS$22,2,FALSE),"")</f>
        <v/>
      </c>
      <c r="P34" s="1396"/>
      <c r="Q34" s="1397"/>
      <c r="R34" s="1531" t="str">
        <f>IFERROR(VLOOKUP(K34,【参考】数式用!$A$5:$AB$37,MATCH(O34,【参考】数式用!$B$4:$AB$4,0)+1,0),"")</f>
        <v/>
      </c>
      <c r="S34" s="1403" t="s">
        <v>2039</v>
      </c>
      <c r="T34" s="1527" t="str">
        <f>IF('別紙様式2-3（６月以降分）'!T34="","",'別紙様式2-3（６月以降分）'!T34)</f>
        <v/>
      </c>
      <c r="U34" s="1529" t="str">
        <f>IFERROR(VLOOKUP(K34,【参考】数式用!$A$5:$AB$37,MATCH(T34,【参考】数式用!$B$4:$AB$4,0)+1,0),"")</f>
        <v/>
      </c>
      <c r="V34" s="1409" t="s">
        <v>15</v>
      </c>
      <c r="W34" s="1525">
        <f>'別紙様式2-3（６月以降分）'!W34</f>
        <v>6</v>
      </c>
      <c r="X34" s="1349" t="s">
        <v>10</v>
      </c>
      <c r="Y34" s="1525">
        <f>'別紙様式2-3（６月以降分）'!Y34</f>
        <v>6</v>
      </c>
      <c r="Z34" s="1349" t="s">
        <v>38</v>
      </c>
      <c r="AA34" s="1525">
        <f>'別紙様式2-3（６月以降分）'!AA34</f>
        <v>7</v>
      </c>
      <c r="AB34" s="1349" t="s">
        <v>10</v>
      </c>
      <c r="AC34" s="1525">
        <f>'別紙様式2-3（６月以降分）'!AC34</f>
        <v>3</v>
      </c>
      <c r="AD34" s="1349" t="s">
        <v>2020</v>
      </c>
      <c r="AE34" s="1349" t="s">
        <v>20</v>
      </c>
      <c r="AF34" s="1349">
        <f>IF(W34&gt;=1,(AA34*12+AC34)-(W34*12+Y34)+1,"")</f>
        <v>10</v>
      </c>
      <c r="AG34" s="1351" t="s">
        <v>33</v>
      </c>
      <c r="AH34" s="1517" t="str">
        <f>'別紙様式2-3（６月以降分）'!AH34</f>
        <v/>
      </c>
      <c r="AI34" s="1519" t="str">
        <f>'別紙様式2-3（６月以降分）'!AI34</f>
        <v/>
      </c>
      <c r="AJ34" s="1521">
        <f>'別紙様式2-3（６月以降分）'!AJ34</f>
        <v>0</v>
      </c>
      <c r="AK34" s="1523" t="str">
        <f>IF('別紙様式2-3（６月以降分）'!AK34="","",'別紙様式2-3（６月以降分）'!AK34)</f>
        <v/>
      </c>
      <c r="AL34" s="1512">
        <f>'別紙様式2-3（６月以降分）'!AL34</f>
        <v>0</v>
      </c>
      <c r="AM34" s="1514" t="str">
        <f>IF('別紙様式2-3（６月以降分）'!AM34="","",'別紙様式2-3（６月以降分）'!AM34)</f>
        <v/>
      </c>
      <c r="AN34" s="1333" t="str">
        <f>IF('別紙様式2-3（６月以降分）'!AN34="","",'別紙様式2-3（６月以降分）'!AN34)</f>
        <v/>
      </c>
      <c r="AO34" s="1331" t="str">
        <f>IF('別紙様式2-3（６月以降分）'!AO34="","",'別紙様式2-3（６月以降分）'!AO34)</f>
        <v/>
      </c>
      <c r="AP34" s="1333" t="str">
        <f>IF('別紙様式2-3（６月以降分）'!AP34="","",'別紙様式2-3（６月以降分）'!AP34)</f>
        <v/>
      </c>
      <c r="AQ34" s="1481" t="str">
        <f>IF('別紙様式2-3（６月以降分）'!AQ34="","",'別紙様式2-3（６月以降分）'!AQ34)</f>
        <v/>
      </c>
      <c r="AR34" s="1484" t="str">
        <f>IF('別紙様式2-3（６月以降分）'!AR34="","",'別紙様式2-3（６月以降分）'!AR34)</f>
        <v/>
      </c>
      <c r="AS34" s="570" t="str">
        <f t="shared" ref="AS34" si="28">IF(AU36="","",IF(U36&lt;U34,"！加算の要件上は問題ありませんが、令和６年度当初の新加算の加算率と比較して、移行後の加算率が下がる計画になっています。",""))</f>
        <v/>
      </c>
      <c r="AT34" s="577"/>
      <c r="AU34" s="1301"/>
      <c r="AV34" s="555" t="str">
        <f>IF('別紙様式2-2（４・５月分）'!N29="","",'別紙様式2-2（４・５月分）'!N29)</f>
        <v/>
      </c>
      <c r="AW34" s="1305" t="str">
        <f>IF(SUM('別紙様式2-2（４・５月分）'!O29:O31)=0,"",SUM('別紙様式2-2（４・５月分）'!O29:O31))</f>
        <v/>
      </c>
      <c r="AX34" s="1473" t="str">
        <f>IFERROR(VLOOKUP(K34,【参考】数式用!$AH$2:$AI$34,2,FALSE),"")</f>
        <v/>
      </c>
      <c r="AY34" s="493"/>
      <c r="BD34" s="340"/>
      <c r="BE34" s="1303" t="str">
        <f>G34</f>
        <v/>
      </c>
      <c r="BF34" s="1303"/>
      <c r="BG34" s="1303"/>
    </row>
    <row r="35" spans="1:59" ht="15" customHeight="1">
      <c r="A35" s="1267"/>
      <c r="B35" s="1235"/>
      <c r="C35" s="1236"/>
      <c r="D35" s="1236"/>
      <c r="E35" s="1236"/>
      <c r="F35" s="1237"/>
      <c r="G35" s="1252"/>
      <c r="H35" s="1252"/>
      <c r="I35" s="1252"/>
      <c r="J35" s="1415"/>
      <c r="K35" s="1252"/>
      <c r="L35" s="1421"/>
      <c r="M35" s="1371" t="str">
        <f>IF('別紙様式2-2（４・５月分）'!P30="","",'別紙様式2-2（４・５月分）'!P30)</f>
        <v/>
      </c>
      <c r="N35" s="1392"/>
      <c r="O35" s="1398"/>
      <c r="P35" s="1399"/>
      <c r="Q35" s="1400"/>
      <c r="R35" s="1532"/>
      <c r="S35" s="1404"/>
      <c r="T35" s="1528"/>
      <c r="U35" s="1530"/>
      <c r="V35" s="1410"/>
      <c r="W35" s="1526"/>
      <c r="X35" s="1350"/>
      <c r="Y35" s="1526"/>
      <c r="Z35" s="1350"/>
      <c r="AA35" s="1526"/>
      <c r="AB35" s="1350"/>
      <c r="AC35" s="1526"/>
      <c r="AD35" s="1350"/>
      <c r="AE35" s="1350"/>
      <c r="AF35" s="1350"/>
      <c r="AG35" s="1352"/>
      <c r="AH35" s="1518"/>
      <c r="AI35" s="1520"/>
      <c r="AJ35" s="1522"/>
      <c r="AK35" s="1524"/>
      <c r="AL35" s="1513"/>
      <c r="AM35" s="1515"/>
      <c r="AN35" s="1334"/>
      <c r="AO35" s="1516"/>
      <c r="AP35" s="1334"/>
      <c r="AQ35" s="1482"/>
      <c r="AR35" s="1485"/>
      <c r="AS35" s="1483" t="str">
        <f t="shared" ref="AS35" si="29">IF(AU36="","",IF(OR(AA36="",AA36&lt;&gt;7,AC36="",AC36&lt;&gt;3),"！算定期間の終わりが令和７年３月になっていません。年度内の廃止予定等がなければ、算定対象月を令和７年３月にしてください。",""))</f>
        <v/>
      </c>
      <c r="AT35" s="577"/>
      <c r="AU35" s="1303"/>
      <c r="AV35" s="1304" t="str">
        <f>IF('別紙様式2-2（４・５月分）'!N30="","",'別紙様式2-2（４・５月分）'!N30)</f>
        <v/>
      </c>
      <c r="AW35" s="1305"/>
      <c r="AX35" s="1474"/>
      <c r="AY35" s="430"/>
      <c r="BD35" s="340"/>
      <c r="BE35" s="1303" t="str">
        <f>G34</f>
        <v/>
      </c>
      <c r="BF35" s="1303"/>
      <c r="BG35" s="1303"/>
    </row>
    <row r="36" spans="1:59" ht="15" customHeight="1">
      <c r="A36" s="1295"/>
      <c r="B36" s="1235"/>
      <c r="C36" s="1236"/>
      <c r="D36" s="1236"/>
      <c r="E36" s="1236"/>
      <c r="F36" s="1237"/>
      <c r="G36" s="1252"/>
      <c r="H36" s="1252"/>
      <c r="I36" s="1252"/>
      <c r="J36" s="1415"/>
      <c r="K36" s="1252"/>
      <c r="L36" s="1421"/>
      <c r="M36" s="1372"/>
      <c r="N36" s="1393"/>
      <c r="O36" s="1373" t="s">
        <v>2025</v>
      </c>
      <c r="P36" s="1425" t="str">
        <f>IFERROR(VLOOKUP('別紙様式2-2（４・５月分）'!AQ29,【参考】数式用!$AR$5:$AT$22,3,FALSE),"")</f>
        <v/>
      </c>
      <c r="Q36" s="1377" t="s">
        <v>2036</v>
      </c>
      <c r="R36" s="1508" t="str">
        <f>IFERROR(VLOOKUP(K34,【参考】数式用!$A$5:$AB$37,MATCH(P36,【参考】数式用!$B$4:$AB$4,0)+1,0),"")</f>
        <v/>
      </c>
      <c r="S36" s="1381" t="s">
        <v>2109</v>
      </c>
      <c r="T36" s="1510"/>
      <c r="U36" s="1506" t="str">
        <f>IFERROR(VLOOKUP(K34,【参考】数式用!$A$5:$AB$37,MATCH(T36,【参考】数式用!$B$4:$AB$4,0)+1,0),"")</f>
        <v/>
      </c>
      <c r="V36" s="1387" t="s">
        <v>15</v>
      </c>
      <c r="W36" s="1504"/>
      <c r="X36" s="1363" t="s">
        <v>10</v>
      </c>
      <c r="Y36" s="1504"/>
      <c r="Z36" s="1363" t="s">
        <v>38</v>
      </c>
      <c r="AA36" s="1504"/>
      <c r="AB36" s="1363" t="s">
        <v>10</v>
      </c>
      <c r="AC36" s="1504"/>
      <c r="AD36" s="1363" t="s">
        <v>2020</v>
      </c>
      <c r="AE36" s="1363" t="s">
        <v>20</v>
      </c>
      <c r="AF36" s="1363" t="str">
        <f>IF(W36&gt;=1,(AA36*12+AC36)-(W36*12+Y36)+1,"")</f>
        <v/>
      </c>
      <c r="AG36" s="1359" t="s">
        <v>33</v>
      </c>
      <c r="AH36" s="1365" t="str">
        <f t="shared" ref="AH36" si="30">IFERROR(ROUNDDOWN(ROUND(L34*U36,0),0)*AF36,"")</f>
        <v/>
      </c>
      <c r="AI36" s="1498" t="str">
        <f t="shared" ref="AI36" si="31">IFERROR(ROUNDDOWN(ROUND((L34*(U36-AW34)),0),0)*AF36,"")</f>
        <v/>
      </c>
      <c r="AJ36" s="1369" t="str">
        <f>IFERROR(ROUNDDOWN(ROUNDDOWN(ROUND(L34*VLOOKUP(K34,【参考】数式用!$A$5:$AB$27,MATCH("新加算Ⅳ",【参考】数式用!$B$4:$AB$4,0)+1,0),0),0)*AF36*0.5,0),"")</f>
        <v/>
      </c>
      <c r="AK36" s="1500"/>
      <c r="AL36" s="1502" t="str">
        <f>IFERROR(IF('別紙様式2-2（４・５月分）'!P36="ベア加算","", IF(OR(T36="新加算Ⅰ",T36="新加算Ⅱ",T36="新加算Ⅲ",T36="新加算Ⅳ"),ROUNDDOWN(ROUND(L34*VLOOKUP(K34,【参考】数式用!$A$5:$I$27,MATCH("ベア加算",【参考】数式用!$B$4:$I$4,0)+1,0),0),0)*AF36,"")),"")</f>
        <v/>
      </c>
      <c r="AM36" s="1494"/>
      <c r="AN36" s="1475"/>
      <c r="AO36" s="1496"/>
      <c r="AP36" s="1475"/>
      <c r="AQ36" s="1477"/>
      <c r="AR36" s="1479"/>
      <c r="AS36" s="1483"/>
      <c r="AT36" s="451"/>
      <c r="AU36" s="1303" t="str">
        <f>IF(AND(AA34&lt;&gt;7,AC34&lt;&gt;3),"V列に色付け","")</f>
        <v/>
      </c>
      <c r="AV36" s="1304"/>
      <c r="AW36" s="1305"/>
      <c r="AX36" s="574"/>
      <c r="AY36" s="1222" t="str">
        <f>IF(AL36&lt;&gt;"",IF(AM36="○","入力済","未入力"),"")</f>
        <v/>
      </c>
      <c r="AZ36" s="1222"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2" t="str">
        <f>IF(OR(T36="新加算Ⅴ（７）",T36="新加算Ⅴ（９）",T36="新加算Ⅴ（10）",T36="新加算Ⅴ（12）",T36="新加算Ⅴ（13）",T36="新加算Ⅴ（14）"),IF(OR(AO36="○",AO36="令和６年度中に満たす"),"入力済","未入力"),"")</f>
        <v/>
      </c>
      <c r="BB36" s="1222" t="str">
        <f>IF(OR(T36="新加算Ⅰ",T36="新加算Ⅱ",T36="新加算Ⅲ",T36="新加算Ⅴ（１）",T36="新加算Ⅴ（３）",T36="新加算Ⅴ（８）"),IF(OR(AP36="○",AP36="令和６年度中に満たす"),"入力済","未入力"),"")</f>
        <v/>
      </c>
      <c r="BC36" s="1472" t="str">
        <f t="shared" ref="BC36" si="32">IF(OR(T36="新加算Ⅰ",T36="新加算Ⅱ",T36="新加算Ⅴ（１）",T36="新加算Ⅴ（２）",T36="新加算Ⅴ（３）",T36="新加算Ⅴ（４）",T36="新加算Ⅴ（５）",T36="新加算Ⅴ（６）",T36="新加算Ⅴ（７）",T36="新加算Ⅴ（９）",T36="新加算Ⅴ（10）",T36="新加算Ⅴ（12）"),IF(AQ36&lt;&gt;"",1,""),"")</f>
        <v/>
      </c>
      <c r="BD36" s="1303" t="str">
        <f>IF(OR(T36="新加算Ⅰ",T36="新加算Ⅴ（１）",T36="新加算Ⅴ（２）",T36="新加算Ⅴ（５）",T36="新加算Ⅴ（７）",T36="新加算Ⅴ（10）"),IF(AR36="","未入力","入力済"),"")</f>
        <v/>
      </c>
      <c r="BE36" s="1303" t="str">
        <f>G34</f>
        <v/>
      </c>
      <c r="BF36" s="1303"/>
      <c r="BG36" s="1303"/>
    </row>
    <row r="37" spans="1:59" ht="30" customHeight="1" thickBot="1">
      <c r="A37" s="1268"/>
      <c r="B37" s="1411"/>
      <c r="C37" s="1459"/>
      <c r="D37" s="1412"/>
      <c r="E37" s="1412"/>
      <c r="F37" s="1413"/>
      <c r="G37" s="1253"/>
      <c r="H37" s="1253"/>
      <c r="I37" s="1253"/>
      <c r="J37" s="1416"/>
      <c r="K37" s="1253"/>
      <c r="L37" s="1422"/>
      <c r="M37" s="553" t="str">
        <f>IF('別紙様式2-2（４・５月分）'!P31="","",'別紙様式2-2（４・５月分）'!P31)</f>
        <v/>
      </c>
      <c r="N37" s="1394"/>
      <c r="O37" s="1374"/>
      <c r="P37" s="1426"/>
      <c r="Q37" s="1378"/>
      <c r="R37" s="1509"/>
      <c r="S37" s="1382"/>
      <c r="T37" s="1511"/>
      <c r="U37" s="1507"/>
      <c r="V37" s="1388"/>
      <c r="W37" s="1505"/>
      <c r="X37" s="1364"/>
      <c r="Y37" s="1505"/>
      <c r="Z37" s="1364"/>
      <c r="AA37" s="1505"/>
      <c r="AB37" s="1364"/>
      <c r="AC37" s="1505"/>
      <c r="AD37" s="1364"/>
      <c r="AE37" s="1364"/>
      <c r="AF37" s="1364"/>
      <c r="AG37" s="1360"/>
      <c r="AH37" s="1366"/>
      <c r="AI37" s="1499"/>
      <c r="AJ37" s="1370"/>
      <c r="AK37" s="1501"/>
      <c r="AL37" s="1503"/>
      <c r="AM37" s="1495"/>
      <c r="AN37" s="1476"/>
      <c r="AO37" s="1497"/>
      <c r="AP37" s="1476"/>
      <c r="AQ37" s="1478"/>
      <c r="AR37" s="1480"/>
      <c r="AS37" s="575"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1"/>
      <c r="AU37" s="1303"/>
      <c r="AV37" s="555" t="str">
        <f>IF('別紙様式2-2（４・５月分）'!N31="","",'別紙様式2-2（４・５月分）'!N31)</f>
        <v/>
      </c>
      <c r="AW37" s="1305"/>
      <c r="AX37" s="576"/>
      <c r="AY37" s="1222" t="str">
        <f>IF(OR(T37="新加算Ⅰ",T37="新加算Ⅱ",T37="新加算Ⅲ",T37="新加算Ⅳ",T37="新加算Ⅴ（１）",T37="新加算Ⅴ（２）",T37="新加算Ⅴ（３）",T37="新加算ⅠⅤ（４）",T37="新加算Ⅴ（５）",T37="新加算Ⅴ（６）",T37="新加算Ⅴ（８）",T37="新加算Ⅴ（11）"),IF(AI37="○","","未入力"),"")</f>
        <v/>
      </c>
      <c r="AZ37" s="1222" t="str">
        <f>IF(OR(U37="新加算Ⅰ",U37="新加算Ⅱ",U37="新加算Ⅲ",U37="新加算Ⅳ",U37="新加算Ⅴ（１）",U37="新加算Ⅴ（２）",U37="新加算Ⅴ（３）",U37="新加算ⅠⅤ（４）",U37="新加算Ⅴ（５）",U37="新加算Ⅴ（６）",U37="新加算Ⅴ（８）",U37="新加算Ⅴ（11）"),IF(AJ37="○","","未入力"),"")</f>
        <v/>
      </c>
      <c r="BA37" s="1222" t="str">
        <f>IF(OR(U37="新加算Ⅴ（７）",U37="新加算Ⅴ（９）",U37="新加算Ⅴ（10）",U37="新加算Ⅴ（12）",U37="新加算Ⅴ（13）",U37="新加算Ⅴ（14）"),IF(AK37="○","","未入力"),"")</f>
        <v/>
      </c>
      <c r="BB37" s="1222" t="str">
        <f>IF(OR(U37="新加算Ⅰ",U37="新加算Ⅱ",U37="新加算Ⅲ",U37="新加算Ⅴ（１）",U37="新加算Ⅴ（３）",U37="新加算Ⅴ（８）"),IF(AL37="○","","未入力"),"")</f>
        <v/>
      </c>
      <c r="BC37" s="1472"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03" t="str">
        <f>IF(AND(T37&lt;&gt;"（参考）令和７年度の移行予定",OR(U37="新加算Ⅰ",U37="新加算Ⅴ（１）",U37="新加算Ⅴ（２）",U37="新加算Ⅴ（５）",U37="新加算Ⅴ（７）",U37="新加算Ⅴ（10）")),IF(AN37="","未入力",IF(AN37="いずれも取得していない","要件を満たさない","")),"")</f>
        <v/>
      </c>
      <c r="BE37" s="1303" t="str">
        <f>G34</f>
        <v/>
      </c>
      <c r="BF37" s="1303"/>
      <c r="BG37" s="1303"/>
    </row>
    <row r="38" spans="1:59" ht="30" customHeight="1">
      <c r="A38" s="1266">
        <v>7</v>
      </c>
      <c r="B38" s="1232" t="str">
        <f>IF(基本情報入力シート!C60="","",基本情報入力シート!C60)</f>
        <v/>
      </c>
      <c r="C38" s="1233"/>
      <c r="D38" s="1233"/>
      <c r="E38" s="1233"/>
      <c r="F38" s="1234"/>
      <c r="G38" s="1251" t="str">
        <f>IF(基本情報入力シート!M60="","",基本情報入力シート!M60)</f>
        <v/>
      </c>
      <c r="H38" s="1251" t="str">
        <f>IF(基本情報入力シート!R60="","",基本情報入力シート!R60)</f>
        <v/>
      </c>
      <c r="I38" s="1251" t="str">
        <f>IF(基本情報入力シート!W60="","",基本情報入力シート!W60)</f>
        <v/>
      </c>
      <c r="J38" s="1414" t="str">
        <f>IF(基本情報入力シート!X60="","",基本情報入力シート!X60)</f>
        <v/>
      </c>
      <c r="K38" s="1251" t="str">
        <f>IF(基本情報入力シート!Y60="","",基本情報入力シート!Y60)</f>
        <v/>
      </c>
      <c r="L38" s="1427" t="str">
        <f>IF(基本情報入力シート!AB60="","",基本情報入力シート!AB60)</f>
        <v/>
      </c>
      <c r="M38" s="550" t="str">
        <f>IF('別紙様式2-2（４・５月分）'!P32="","",'別紙様式2-2（４・５月分）'!P32)</f>
        <v/>
      </c>
      <c r="N38" s="1391" t="str">
        <f>IF(SUM('別紙様式2-2（４・５月分）'!Q32:Q34)=0,"",SUM('別紙様式2-2（４・５月分）'!Q32:Q34))</f>
        <v/>
      </c>
      <c r="O38" s="1395" t="str">
        <f>IFERROR(VLOOKUP('別紙様式2-2（４・５月分）'!AQ32,【参考】数式用!$AR$5:$AS$22,2,FALSE),"")</f>
        <v/>
      </c>
      <c r="P38" s="1396"/>
      <c r="Q38" s="1397"/>
      <c r="R38" s="1531" t="str">
        <f>IFERROR(VLOOKUP(K38,【参考】数式用!$A$5:$AB$37,MATCH(O38,【参考】数式用!$B$4:$AB$4,0)+1,0),"")</f>
        <v/>
      </c>
      <c r="S38" s="1403" t="s">
        <v>2039</v>
      </c>
      <c r="T38" s="1527" t="str">
        <f>IF('別紙様式2-3（６月以降分）'!T38="","",'別紙様式2-3（６月以降分）'!T38)</f>
        <v/>
      </c>
      <c r="U38" s="1529" t="str">
        <f>IFERROR(VLOOKUP(K38,【参考】数式用!$A$5:$AB$37,MATCH(T38,【参考】数式用!$B$4:$AB$4,0)+1,0),"")</f>
        <v/>
      </c>
      <c r="V38" s="1409" t="s">
        <v>15</v>
      </c>
      <c r="W38" s="1525">
        <f>'別紙様式2-3（６月以降分）'!W38</f>
        <v>6</v>
      </c>
      <c r="X38" s="1349" t="s">
        <v>10</v>
      </c>
      <c r="Y38" s="1525">
        <f>'別紙様式2-3（６月以降分）'!Y38</f>
        <v>6</v>
      </c>
      <c r="Z38" s="1349" t="s">
        <v>38</v>
      </c>
      <c r="AA38" s="1525">
        <f>'別紙様式2-3（６月以降分）'!AA38</f>
        <v>7</v>
      </c>
      <c r="AB38" s="1349" t="s">
        <v>10</v>
      </c>
      <c r="AC38" s="1525">
        <f>'別紙様式2-3（６月以降分）'!AC38</f>
        <v>3</v>
      </c>
      <c r="AD38" s="1349" t="s">
        <v>2020</v>
      </c>
      <c r="AE38" s="1349" t="s">
        <v>20</v>
      </c>
      <c r="AF38" s="1349">
        <f>IF(W38&gt;=1,(AA38*12+AC38)-(W38*12+Y38)+1,"")</f>
        <v>10</v>
      </c>
      <c r="AG38" s="1351" t="s">
        <v>33</v>
      </c>
      <c r="AH38" s="1517" t="str">
        <f>'別紙様式2-3（６月以降分）'!AH38</f>
        <v/>
      </c>
      <c r="AI38" s="1519" t="str">
        <f>'別紙様式2-3（６月以降分）'!AI38</f>
        <v/>
      </c>
      <c r="AJ38" s="1521">
        <f>'別紙様式2-3（６月以降分）'!AJ38</f>
        <v>0</v>
      </c>
      <c r="AK38" s="1523" t="str">
        <f>IF('別紙様式2-3（６月以降分）'!AK38="","",'別紙様式2-3（６月以降分）'!AK38)</f>
        <v/>
      </c>
      <c r="AL38" s="1512">
        <f>'別紙様式2-3（６月以降分）'!AL38</f>
        <v>0</v>
      </c>
      <c r="AM38" s="1514" t="str">
        <f>IF('別紙様式2-3（６月以降分）'!AM38="","",'別紙様式2-3（６月以降分）'!AM38)</f>
        <v/>
      </c>
      <c r="AN38" s="1333" t="str">
        <f>IF('別紙様式2-3（６月以降分）'!AN38="","",'別紙様式2-3（６月以降分）'!AN38)</f>
        <v/>
      </c>
      <c r="AO38" s="1331" t="str">
        <f>IF('別紙様式2-3（６月以降分）'!AO38="","",'別紙様式2-3（６月以降分）'!AO38)</f>
        <v/>
      </c>
      <c r="AP38" s="1333" t="str">
        <f>IF('別紙様式2-3（６月以降分）'!AP38="","",'別紙様式2-3（６月以降分）'!AP38)</f>
        <v/>
      </c>
      <c r="AQ38" s="1481" t="str">
        <f>IF('別紙様式2-3（６月以降分）'!AQ38="","",'別紙様式2-3（６月以降分）'!AQ38)</f>
        <v/>
      </c>
      <c r="AR38" s="1484" t="str">
        <f>IF('別紙様式2-3（６月以降分）'!AR38="","",'別紙様式2-3（６月以降分）'!AR38)</f>
        <v/>
      </c>
      <c r="AS38" s="570" t="str">
        <f t="shared" ref="AS38" si="35">IF(AU40="","",IF(U40&lt;U38,"！加算の要件上は問題ありませんが、令和６年度当初の新加算の加算率と比較して、移行後の加算率が下がる計画になっています。",""))</f>
        <v/>
      </c>
      <c r="AT38" s="577"/>
      <c r="AU38" s="1301"/>
      <c r="AV38" s="555" t="str">
        <f>IF('別紙様式2-2（４・５月分）'!N32="","",'別紙様式2-2（４・５月分）'!N32)</f>
        <v/>
      </c>
      <c r="AW38" s="1305" t="str">
        <f>IF(SUM('別紙様式2-2（４・５月分）'!O32:O34)=0,"",SUM('別紙様式2-2（４・５月分）'!O32:O34))</f>
        <v/>
      </c>
      <c r="AX38" s="1473" t="str">
        <f>IFERROR(VLOOKUP(K38,【参考】数式用!$AH$2:$AI$34,2,FALSE),"")</f>
        <v/>
      </c>
      <c r="AY38" s="493"/>
      <c r="BD38" s="340"/>
      <c r="BE38" s="1303" t="str">
        <f>G38</f>
        <v/>
      </c>
      <c r="BF38" s="1303"/>
      <c r="BG38" s="1303"/>
    </row>
    <row r="39" spans="1:59" ht="15" customHeight="1">
      <c r="A39" s="1267"/>
      <c r="B39" s="1235"/>
      <c r="C39" s="1236"/>
      <c r="D39" s="1236"/>
      <c r="E39" s="1236"/>
      <c r="F39" s="1237"/>
      <c r="G39" s="1252"/>
      <c r="H39" s="1252"/>
      <c r="I39" s="1252"/>
      <c r="J39" s="1415"/>
      <c r="K39" s="1252"/>
      <c r="L39" s="1421"/>
      <c r="M39" s="1371" t="str">
        <f>IF('別紙様式2-2（４・５月分）'!P33="","",'別紙様式2-2（４・５月分）'!P33)</f>
        <v/>
      </c>
      <c r="N39" s="1392"/>
      <c r="O39" s="1398"/>
      <c r="P39" s="1399"/>
      <c r="Q39" s="1400"/>
      <c r="R39" s="1532"/>
      <c r="S39" s="1404"/>
      <c r="T39" s="1528"/>
      <c r="U39" s="1530"/>
      <c r="V39" s="1410"/>
      <c r="W39" s="1526"/>
      <c r="X39" s="1350"/>
      <c r="Y39" s="1526"/>
      <c r="Z39" s="1350"/>
      <c r="AA39" s="1526"/>
      <c r="AB39" s="1350"/>
      <c r="AC39" s="1526"/>
      <c r="AD39" s="1350"/>
      <c r="AE39" s="1350"/>
      <c r="AF39" s="1350"/>
      <c r="AG39" s="1352"/>
      <c r="AH39" s="1518"/>
      <c r="AI39" s="1520"/>
      <c r="AJ39" s="1522"/>
      <c r="AK39" s="1524"/>
      <c r="AL39" s="1513"/>
      <c r="AM39" s="1515"/>
      <c r="AN39" s="1334"/>
      <c r="AO39" s="1516"/>
      <c r="AP39" s="1334"/>
      <c r="AQ39" s="1482"/>
      <c r="AR39" s="1485"/>
      <c r="AS39" s="1483" t="str">
        <f t="shared" ref="AS39" si="36">IF(AU40="","",IF(OR(AA40="",AA40&lt;&gt;7,AC40="",AC40&lt;&gt;3),"！算定期間の終わりが令和７年３月になっていません。年度内の廃止予定等がなければ、算定対象月を令和７年３月にしてください。",""))</f>
        <v/>
      </c>
      <c r="AT39" s="577"/>
      <c r="AU39" s="1303"/>
      <c r="AV39" s="1304" t="str">
        <f>IF('別紙様式2-2（４・５月分）'!N33="","",'別紙様式2-2（４・５月分）'!N33)</f>
        <v/>
      </c>
      <c r="AW39" s="1305"/>
      <c r="AX39" s="1474"/>
      <c r="AY39" s="430"/>
      <c r="BD39" s="340"/>
      <c r="BE39" s="1303" t="str">
        <f>G38</f>
        <v/>
      </c>
      <c r="BF39" s="1303"/>
      <c r="BG39" s="1303"/>
    </row>
    <row r="40" spans="1:59" ht="15" customHeight="1">
      <c r="A40" s="1295"/>
      <c r="B40" s="1235"/>
      <c r="C40" s="1236"/>
      <c r="D40" s="1236"/>
      <c r="E40" s="1236"/>
      <c r="F40" s="1237"/>
      <c r="G40" s="1252"/>
      <c r="H40" s="1252"/>
      <c r="I40" s="1252"/>
      <c r="J40" s="1415"/>
      <c r="K40" s="1252"/>
      <c r="L40" s="1421"/>
      <c r="M40" s="1372"/>
      <c r="N40" s="1393"/>
      <c r="O40" s="1373" t="s">
        <v>2025</v>
      </c>
      <c r="P40" s="1425" t="str">
        <f>IFERROR(VLOOKUP('別紙様式2-2（４・５月分）'!AQ32,【参考】数式用!$AR$5:$AT$22,3,FALSE),"")</f>
        <v/>
      </c>
      <c r="Q40" s="1377" t="s">
        <v>2036</v>
      </c>
      <c r="R40" s="1508" t="str">
        <f>IFERROR(VLOOKUP(K38,【参考】数式用!$A$5:$AB$37,MATCH(P40,【参考】数式用!$B$4:$AB$4,0)+1,0),"")</f>
        <v/>
      </c>
      <c r="S40" s="1381" t="s">
        <v>2109</v>
      </c>
      <c r="T40" s="1510"/>
      <c r="U40" s="1506" t="str">
        <f>IFERROR(VLOOKUP(K38,【参考】数式用!$A$5:$AB$37,MATCH(T40,【参考】数式用!$B$4:$AB$4,0)+1,0),"")</f>
        <v/>
      </c>
      <c r="V40" s="1387" t="s">
        <v>15</v>
      </c>
      <c r="W40" s="1504"/>
      <c r="X40" s="1363" t="s">
        <v>10</v>
      </c>
      <c r="Y40" s="1504"/>
      <c r="Z40" s="1363" t="s">
        <v>38</v>
      </c>
      <c r="AA40" s="1504"/>
      <c r="AB40" s="1363" t="s">
        <v>10</v>
      </c>
      <c r="AC40" s="1504"/>
      <c r="AD40" s="1363" t="s">
        <v>2020</v>
      </c>
      <c r="AE40" s="1363" t="s">
        <v>20</v>
      </c>
      <c r="AF40" s="1363" t="str">
        <f>IF(W40&gt;=1,(AA40*12+AC40)-(W40*12+Y40)+1,"")</f>
        <v/>
      </c>
      <c r="AG40" s="1359" t="s">
        <v>33</v>
      </c>
      <c r="AH40" s="1365" t="str">
        <f t="shared" ref="AH40" si="37">IFERROR(ROUNDDOWN(ROUND(L38*U40,0),0)*AF40,"")</f>
        <v/>
      </c>
      <c r="AI40" s="1498" t="str">
        <f t="shared" ref="AI40" si="38">IFERROR(ROUNDDOWN(ROUND((L38*(U40-AW38)),0),0)*AF40,"")</f>
        <v/>
      </c>
      <c r="AJ40" s="1369" t="str">
        <f>IFERROR(ROUNDDOWN(ROUNDDOWN(ROUND(L38*VLOOKUP(K38,【参考】数式用!$A$5:$AB$27,MATCH("新加算Ⅳ",【参考】数式用!$B$4:$AB$4,0)+1,0),0),0)*AF40*0.5,0),"")</f>
        <v/>
      </c>
      <c r="AK40" s="1500"/>
      <c r="AL40" s="1502" t="str">
        <f>IFERROR(IF('別紙様式2-2（４・５月分）'!P40="ベア加算","", IF(OR(T40="新加算Ⅰ",T40="新加算Ⅱ",T40="新加算Ⅲ",T40="新加算Ⅳ"),ROUNDDOWN(ROUND(L38*VLOOKUP(K38,【参考】数式用!$A$5:$I$27,MATCH("ベア加算",【参考】数式用!$B$4:$I$4,0)+1,0),0),0)*AF40,"")),"")</f>
        <v/>
      </c>
      <c r="AM40" s="1494"/>
      <c r="AN40" s="1475"/>
      <c r="AO40" s="1496"/>
      <c r="AP40" s="1475"/>
      <c r="AQ40" s="1477"/>
      <c r="AR40" s="1479"/>
      <c r="AS40" s="1483"/>
      <c r="AT40" s="451"/>
      <c r="AU40" s="1303" t="str">
        <f>IF(AND(AA38&lt;&gt;7,AC38&lt;&gt;3),"V列に色付け","")</f>
        <v/>
      </c>
      <c r="AV40" s="1304"/>
      <c r="AW40" s="1305"/>
      <c r="AX40" s="574"/>
      <c r="AY40" s="1222" t="str">
        <f>IF(AL40&lt;&gt;"",IF(AM40="○","入力済","未入力"),"")</f>
        <v/>
      </c>
      <c r="AZ40" s="1222"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2" t="str">
        <f>IF(OR(T40="新加算Ⅴ（７）",T40="新加算Ⅴ（９）",T40="新加算Ⅴ（10）",T40="新加算Ⅴ（12）",T40="新加算Ⅴ（13）",T40="新加算Ⅴ（14）"),IF(OR(AO40="○",AO40="令和６年度中に満たす"),"入力済","未入力"),"")</f>
        <v/>
      </c>
      <c r="BB40" s="1222" t="str">
        <f>IF(OR(T40="新加算Ⅰ",T40="新加算Ⅱ",T40="新加算Ⅲ",T40="新加算Ⅴ（１）",T40="新加算Ⅴ（３）",T40="新加算Ⅴ（８）"),IF(OR(AP40="○",AP40="令和６年度中に満たす"),"入力済","未入力"),"")</f>
        <v/>
      </c>
      <c r="BC40" s="1472" t="str">
        <f t="shared" ref="BC40" si="39">IF(OR(T40="新加算Ⅰ",T40="新加算Ⅱ",T40="新加算Ⅴ（１）",T40="新加算Ⅴ（２）",T40="新加算Ⅴ（３）",T40="新加算Ⅴ（４）",T40="新加算Ⅴ（５）",T40="新加算Ⅴ（６）",T40="新加算Ⅴ（７）",T40="新加算Ⅴ（９）",T40="新加算Ⅴ（10）",T40="新加算Ⅴ（12）"),IF(AQ40&lt;&gt;"",1,""),"")</f>
        <v/>
      </c>
      <c r="BD40" s="1303" t="str">
        <f>IF(OR(T40="新加算Ⅰ",T40="新加算Ⅴ（１）",T40="新加算Ⅴ（２）",T40="新加算Ⅴ（５）",T40="新加算Ⅴ（７）",T40="新加算Ⅴ（10）"),IF(AR40="","未入力","入力済"),"")</f>
        <v/>
      </c>
      <c r="BE40" s="1303" t="str">
        <f>G38</f>
        <v/>
      </c>
      <c r="BF40" s="1303"/>
      <c r="BG40" s="1303"/>
    </row>
    <row r="41" spans="1:59" ht="30" customHeight="1" thickBot="1">
      <c r="A41" s="1268"/>
      <c r="B41" s="1411"/>
      <c r="C41" s="1412"/>
      <c r="D41" s="1412"/>
      <c r="E41" s="1412"/>
      <c r="F41" s="1413"/>
      <c r="G41" s="1253"/>
      <c r="H41" s="1253"/>
      <c r="I41" s="1253"/>
      <c r="J41" s="1416"/>
      <c r="K41" s="1253"/>
      <c r="L41" s="1422"/>
      <c r="M41" s="553" t="str">
        <f>IF('別紙様式2-2（４・５月分）'!P34="","",'別紙様式2-2（４・５月分）'!P34)</f>
        <v/>
      </c>
      <c r="N41" s="1394"/>
      <c r="O41" s="1374"/>
      <c r="P41" s="1426"/>
      <c r="Q41" s="1378"/>
      <c r="R41" s="1509"/>
      <c r="S41" s="1382"/>
      <c r="T41" s="1511"/>
      <c r="U41" s="1507"/>
      <c r="V41" s="1388"/>
      <c r="W41" s="1505"/>
      <c r="X41" s="1364"/>
      <c r="Y41" s="1505"/>
      <c r="Z41" s="1364"/>
      <c r="AA41" s="1505"/>
      <c r="AB41" s="1364"/>
      <c r="AC41" s="1505"/>
      <c r="AD41" s="1364"/>
      <c r="AE41" s="1364"/>
      <c r="AF41" s="1364"/>
      <c r="AG41" s="1360"/>
      <c r="AH41" s="1366"/>
      <c r="AI41" s="1499"/>
      <c r="AJ41" s="1370"/>
      <c r="AK41" s="1501"/>
      <c r="AL41" s="1503"/>
      <c r="AM41" s="1495"/>
      <c r="AN41" s="1476"/>
      <c r="AO41" s="1497"/>
      <c r="AP41" s="1476"/>
      <c r="AQ41" s="1478"/>
      <c r="AR41" s="1480"/>
      <c r="AS41" s="575"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1"/>
      <c r="AU41" s="1303"/>
      <c r="AV41" s="555" t="str">
        <f>IF('別紙様式2-2（４・５月分）'!N34="","",'別紙様式2-2（４・５月分）'!N34)</f>
        <v/>
      </c>
      <c r="AW41" s="1305"/>
      <c r="AX41" s="576"/>
      <c r="AY41" s="1222" t="str">
        <f>IF(OR(T41="新加算Ⅰ",T41="新加算Ⅱ",T41="新加算Ⅲ",T41="新加算Ⅳ",T41="新加算Ⅴ（１）",T41="新加算Ⅴ（２）",T41="新加算Ⅴ（３）",T41="新加算ⅠⅤ（４）",T41="新加算Ⅴ（５）",T41="新加算Ⅴ（６）",T41="新加算Ⅴ（８）",T41="新加算Ⅴ（11）"),IF(AI41="○","","未入力"),"")</f>
        <v/>
      </c>
      <c r="AZ41" s="1222" t="str">
        <f>IF(OR(U41="新加算Ⅰ",U41="新加算Ⅱ",U41="新加算Ⅲ",U41="新加算Ⅳ",U41="新加算Ⅴ（１）",U41="新加算Ⅴ（２）",U41="新加算Ⅴ（３）",U41="新加算ⅠⅤ（４）",U41="新加算Ⅴ（５）",U41="新加算Ⅴ（６）",U41="新加算Ⅴ（８）",U41="新加算Ⅴ（11）"),IF(AJ41="○","","未入力"),"")</f>
        <v/>
      </c>
      <c r="BA41" s="1222" t="str">
        <f>IF(OR(U41="新加算Ⅴ（７）",U41="新加算Ⅴ（９）",U41="新加算Ⅴ（10）",U41="新加算Ⅴ（12）",U41="新加算Ⅴ（13）",U41="新加算Ⅴ（14）"),IF(AK41="○","","未入力"),"")</f>
        <v/>
      </c>
      <c r="BB41" s="1222" t="str">
        <f>IF(OR(U41="新加算Ⅰ",U41="新加算Ⅱ",U41="新加算Ⅲ",U41="新加算Ⅴ（１）",U41="新加算Ⅴ（３）",U41="新加算Ⅴ（８）"),IF(AL41="○","","未入力"),"")</f>
        <v/>
      </c>
      <c r="BC41" s="1472"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03" t="str">
        <f>IF(AND(T41&lt;&gt;"（参考）令和７年度の移行予定",OR(U41="新加算Ⅰ",U41="新加算Ⅴ（１）",U41="新加算Ⅴ（２）",U41="新加算Ⅴ（５）",U41="新加算Ⅴ（７）",U41="新加算Ⅴ（10）")),IF(AN41="","未入力",IF(AN41="いずれも取得していない","要件を満たさない","")),"")</f>
        <v/>
      </c>
      <c r="BE41" s="1303" t="str">
        <f>G38</f>
        <v/>
      </c>
      <c r="BF41" s="1303"/>
      <c r="BG41" s="1303"/>
    </row>
    <row r="42" spans="1:59" ht="30" customHeight="1">
      <c r="A42" s="1293">
        <v>8</v>
      </c>
      <c r="B42" s="1235" t="str">
        <f>IF(基本情報入力シート!C61="","",基本情報入力シート!C61)</f>
        <v/>
      </c>
      <c r="C42" s="1236"/>
      <c r="D42" s="1236"/>
      <c r="E42" s="1236"/>
      <c r="F42" s="1237"/>
      <c r="G42" s="1252" t="str">
        <f>IF(基本情報入力シート!M61="","",基本情報入力シート!M61)</f>
        <v/>
      </c>
      <c r="H42" s="1252" t="str">
        <f>IF(基本情報入力シート!R61="","",基本情報入力シート!R61)</f>
        <v/>
      </c>
      <c r="I42" s="1252" t="str">
        <f>IF(基本情報入力シート!W61="","",基本情報入力シート!W61)</f>
        <v/>
      </c>
      <c r="J42" s="1415" t="str">
        <f>IF(基本情報入力シート!X61="","",基本情報入力シート!X61)</f>
        <v/>
      </c>
      <c r="K42" s="1252" t="str">
        <f>IF(基本情報入力シート!Y61="","",基本情報入力シート!Y61)</f>
        <v/>
      </c>
      <c r="L42" s="1421" t="str">
        <f>IF(基本情報入力シート!AB61="","",基本情報入力シート!AB61)</f>
        <v/>
      </c>
      <c r="M42" s="550" t="str">
        <f>IF('別紙様式2-2（４・５月分）'!P35="","",'別紙様式2-2（４・５月分）'!P35)</f>
        <v/>
      </c>
      <c r="N42" s="1391" t="str">
        <f>IF(SUM('別紙様式2-2（４・５月分）'!Q35:Q37)=0,"",SUM('別紙様式2-2（４・５月分）'!Q35:Q37))</f>
        <v/>
      </c>
      <c r="O42" s="1395" t="str">
        <f>IFERROR(VLOOKUP('別紙様式2-2（４・５月分）'!AQ35,【参考】数式用!$AR$5:$AS$22,2,FALSE),"")</f>
        <v/>
      </c>
      <c r="P42" s="1396"/>
      <c r="Q42" s="1397"/>
      <c r="R42" s="1531" t="str">
        <f>IFERROR(VLOOKUP(K42,【参考】数式用!$A$5:$AB$37,MATCH(O42,【参考】数式用!$B$4:$AB$4,0)+1,0),"")</f>
        <v/>
      </c>
      <c r="S42" s="1403" t="s">
        <v>2102</v>
      </c>
      <c r="T42" s="1527" t="str">
        <f>IF('別紙様式2-3（６月以降分）'!T42="","",'別紙様式2-3（６月以降分）'!T42)</f>
        <v/>
      </c>
      <c r="U42" s="1529" t="str">
        <f>IFERROR(VLOOKUP(K42,【参考】数式用!$A$5:$AB$37,MATCH(T42,【参考】数式用!$B$4:$AB$4,0)+1,0),"")</f>
        <v/>
      </c>
      <c r="V42" s="1409" t="s">
        <v>15</v>
      </c>
      <c r="W42" s="1525">
        <f>'別紙様式2-3（６月以降分）'!W42</f>
        <v>6</v>
      </c>
      <c r="X42" s="1349" t="s">
        <v>10</v>
      </c>
      <c r="Y42" s="1525">
        <f>'別紙様式2-3（６月以降分）'!Y42</f>
        <v>6</v>
      </c>
      <c r="Z42" s="1349" t="s">
        <v>38</v>
      </c>
      <c r="AA42" s="1525">
        <f>'別紙様式2-3（６月以降分）'!AA42</f>
        <v>7</v>
      </c>
      <c r="AB42" s="1349" t="s">
        <v>10</v>
      </c>
      <c r="AC42" s="1525">
        <f>'別紙様式2-3（６月以降分）'!AC42</f>
        <v>3</v>
      </c>
      <c r="AD42" s="1349" t="s">
        <v>2020</v>
      </c>
      <c r="AE42" s="1349" t="s">
        <v>20</v>
      </c>
      <c r="AF42" s="1349">
        <f>IF(W42&gt;=1,(AA42*12+AC42)-(W42*12+Y42)+1,"")</f>
        <v>10</v>
      </c>
      <c r="AG42" s="1351" t="s">
        <v>33</v>
      </c>
      <c r="AH42" s="1517" t="str">
        <f>'別紙様式2-3（６月以降分）'!AH42</f>
        <v/>
      </c>
      <c r="AI42" s="1519" t="str">
        <f>'別紙様式2-3（６月以降分）'!AI42</f>
        <v/>
      </c>
      <c r="AJ42" s="1521">
        <f>'別紙様式2-3（６月以降分）'!AJ42</f>
        <v>0</v>
      </c>
      <c r="AK42" s="1523" t="str">
        <f>IF('別紙様式2-3（６月以降分）'!AK42="","",'別紙様式2-3（６月以降分）'!AK42)</f>
        <v/>
      </c>
      <c r="AL42" s="1512">
        <f>'別紙様式2-3（６月以降分）'!AL42</f>
        <v>0</v>
      </c>
      <c r="AM42" s="1514" t="str">
        <f>IF('別紙様式2-3（６月以降分）'!AM42="","",'別紙様式2-3（６月以降分）'!AM42)</f>
        <v/>
      </c>
      <c r="AN42" s="1333" t="str">
        <f>IF('別紙様式2-3（６月以降分）'!AN42="","",'別紙様式2-3（６月以降分）'!AN42)</f>
        <v/>
      </c>
      <c r="AO42" s="1331" t="str">
        <f>IF('別紙様式2-3（６月以降分）'!AO42="","",'別紙様式2-3（６月以降分）'!AO42)</f>
        <v/>
      </c>
      <c r="AP42" s="1333" t="str">
        <f>IF('別紙様式2-3（６月以降分）'!AP42="","",'別紙様式2-3（６月以降分）'!AP42)</f>
        <v/>
      </c>
      <c r="AQ42" s="1481" t="str">
        <f>IF('別紙様式2-3（６月以降分）'!AQ42="","",'別紙様式2-3（６月以降分）'!AQ42)</f>
        <v/>
      </c>
      <c r="AR42" s="1484" t="str">
        <f>IF('別紙様式2-3（６月以降分）'!AR42="","",'別紙様式2-3（６月以降分）'!AR42)</f>
        <v/>
      </c>
      <c r="AS42" s="570" t="str">
        <f t="shared" ref="AS42" si="42">IF(AU44="","",IF(U44&lt;U42,"！加算の要件上は問題ありませんが、令和６年度当初の新加算の加算率と比較して、移行後の加算率が下がる計画になっています。",""))</f>
        <v/>
      </c>
      <c r="AT42" s="577"/>
      <c r="AU42" s="1301"/>
      <c r="AV42" s="555" t="str">
        <f>IF('別紙様式2-2（４・５月分）'!N35="","",'別紙様式2-2（４・５月分）'!N35)</f>
        <v/>
      </c>
      <c r="AW42" s="1305" t="str">
        <f>IF(SUM('別紙様式2-2（４・５月分）'!O35:O37)=0,"",SUM('別紙様式2-2（４・５月分）'!O35:O37))</f>
        <v/>
      </c>
      <c r="AX42" s="1473" t="str">
        <f>IFERROR(VLOOKUP(K42,【参考】数式用!$AH$2:$AI$34,2,FALSE),"")</f>
        <v/>
      </c>
      <c r="AY42" s="493"/>
      <c r="BD42" s="340"/>
      <c r="BE42" s="1303" t="str">
        <f>G42</f>
        <v/>
      </c>
      <c r="BF42" s="1303"/>
      <c r="BG42" s="1303"/>
    </row>
    <row r="43" spans="1:59" ht="15" customHeight="1">
      <c r="A43" s="1267"/>
      <c r="B43" s="1235"/>
      <c r="C43" s="1236"/>
      <c r="D43" s="1236"/>
      <c r="E43" s="1236"/>
      <c r="F43" s="1237"/>
      <c r="G43" s="1252"/>
      <c r="H43" s="1252"/>
      <c r="I43" s="1252"/>
      <c r="J43" s="1415"/>
      <c r="K43" s="1252"/>
      <c r="L43" s="1421"/>
      <c r="M43" s="1371" t="str">
        <f>IF('別紙様式2-2（４・５月分）'!P36="","",'別紙様式2-2（４・５月分）'!P36)</f>
        <v/>
      </c>
      <c r="N43" s="1392"/>
      <c r="O43" s="1398"/>
      <c r="P43" s="1399"/>
      <c r="Q43" s="1400"/>
      <c r="R43" s="1532"/>
      <c r="S43" s="1404"/>
      <c r="T43" s="1528"/>
      <c r="U43" s="1530"/>
      <c r="V43" s="1410"/>
      <c r="W43" s="1526"/>
      <c r="X43" s="1350"/>
      <c r="Y43" s="1526"/>
      <c r="Z43" s="1350"/>
      <c r="AA43" s="1526"/>
      <c r="AB43" s="1350"/>
      <c r="AC43" s="1526"/>
      <c r="AD43" s="1350"/>
      <c r="AE43" s="1350"/>
      <c r="AF43" s="1350"/>
      <c r="AG43" s="1352"/>
      <c r="AH43" s="1518"/>
      <c r="AI43" s="1520"/>
      <c r="AJ43" s="1522"/>
      <c r="AK43" s="1524"/>
      <c r="AL43" s="1513"/>
      <c r="AM43" s="1515"/>
      <c r="AN43" s="1334"/>
      <c r="AO43" s="1516"/>
      <c r="AP43" s="1334"/>
      <c r="AQ43" s="1482"/>
      <c r="AR43" s="1485"/>
      <c r="AS43" s="1483" t="str">
        <f t="shared" ref="AS43" si="43">IF(AU44="","",IF(OR(AA44="",AA44&lt;&gt;7,AC44="",AC44&lt;&gt;3),"！算定期間の終わりが令和７年３月になっていません。年度内の廃止予定等がなければ、算定対象月を令和７年３月にしてください。",""))</f>
        <v/>
      </c>
      <c r="AT43" s="577"/>
      <c r="AU43" s="1303"/>
      <c r="AV43" s="1304" t="str">
        <f>IF('別紙様式2-2（４・５月分）'!N36="","",'別紙様式2-2（４・５月分）'!N36)</f>
        <v/>
      </c>
      <c r="AW43" s="1305"/>
      <c r="AX43" s="1474"/>
      <c r="AY43" s="430"/>
      <c r="BD43" s="340"/>
      <c r="BE43" s="1303" t="str">
        <f>G42</f>
        <v/>
      </c>
      <c r="BF43" s="1303"/>
      <c r="BG43" s="1303"/>
    </row>
    <row r="44" spans="1:59" ht="15" customHeight="1">
      <c r="A44" s="1295"/>
      <c r="B44" s="1235"/>
      <c r="C44" s="1236"/>
      <c r="D44" s="1236"/>
      <c r="E44" s="1236"/>
      <c r="F44" s="1237"/>
      <c r="G44" s="1252"/>
      <c r="H44" s="1252"/>
      <c r="I44" s="1252"/>
      <c r="J44" s="1415"/>
      <c r="K44" s="1252"/>
      <c r="L44" s="1421"/>
      <c r="M44" s="1372"/>
      <c r="N44" s="1393"/>
      <c r="O44" s="1373" t="s">
        <v>2025</v>
      </c>
      <c r="P44" s="1425" t="str">
        <f>IFERROR(VLOOKUP('別紙様式2-2（４・５月分）'!AQ35,【参考】数式用!$AR$5:$AT$22,3,FALSE),"")</f>
        <v/>
      </c>
      <c r="Q44" s="1377" t="s">
        <v>2036</v>
      </c>
      <c r="R44" s="1508" t="str">
        <f>IFERROR(VLOOKUP(K42,【参考】数式用!$A$5:$AB$37,MATCH(P44,【参考】数式用!$B$4:$AB$4,0)+1,0),"")</f>
        <v/>
      </c>
      <c r="S44" s="1381" t="s">
        <v>2109</v>
      </c>
      <c r="T44" s="1510"/>
      <c r="U44" s="1506" t="str">
        <f>IFERROR(VLOOKUP(K42,【参考】数式用!$A$5:$AB$37,MATCH(T44,【参考】数式用!$B$4:$AB$4,0)+1,0),"")</f>
        <v/>
      </c>
      <c r="V44" s="1387" t="s">
        <v>15</v>
      </c>
      <c r="W44" s="1504"/>
      <c r="X44" s="1363" t="s">
        <v>10</v>
      </c>
      <c r="Y44" s="1504"/>
      <c r="Z44" s="1363" t="s">
        <v>38</v>
      </c>
      <c r="AA44" s="1504"/>
      <c r="AB44" s="1363" t="s">
        <v>10</v>
      </c>
      <c r="AC44" s="1504"/>
      <c r="AD44" s="1363" t="s">
        <v>2020</v>
      </c>
      <c r="AE44" s="1363" t="s">
        <v>20</v>
      </c>
      <c r="AF44" s="1363" t="str">
        <f>IF(W44&gt;=1,(AA44*12+AC44)-(W44*12+Y44)+1,"")</f>
        <v/>
      </c>
      <c r="AG44" s="1359" t="s">
        <v>33</v>
      </c>
      <c r="AH44" s="1365" t="str">
        <f t="shared" ref="AH44" si="44">IFERROR(ROUNDDOWN(ROUND(L42*U44,0),0)*AF44,"")</f>
        <v/>
      </c>
      <c r="AI44" s="1498" t="str">
        <f t="shared" ref="AI44" si="45">IFERROR(ROUNDDOWN(ROUND((L42*(U44-AW42)),0),0)*AF44,"")</f>
        <v/>
      </c>
      <c r="AJ44" s="1369" t="str">
        <f>IFERROR(ROUNDDOWN(ROUNDDOWN(ROUND(L42*VLOOKUP(K42,【参考】数式用!$A$5:$AB$27,MATCH("新加算Ⅳ",【参考】数式用!$B$4:$AB$4,0)+1,0),0),0)*AF44*0.5,0),"")</f>
        <v/>
      </c>
      <c r="AK44" s="1500"/>
      <c r="AL44" s="1502" t="str">
        <f>IFERROR(IF('別紙様式2-2（４・５月分）'!P44="ベア加算","", IF(OR(T44="新加算Ⅰ",T44="新加算Ⅱ",T44="新加算Ⅲ",T44="新加算Ⅳ"),ROUNDDOWN(ROUND(L42*VLOOKUP(K42,【参考】数式用!$A$5:$I$27,MATCH("ベア加算",【参考】数式用!$B$4:$I$4,0)+1,0),0),0)*AF44,"")),"")</f>
        <v/>
      </c>
      <c r="AM44" s="1494"/>
      <c r="AN44" s="1475"/>
      <c r="AO44" s="1496"/>
      <c r="AP44" s="1475"/>
      <c r="AQ44" s="1477"/>
      <c r="AR44" s="1479"/>
      <c r="AS44" s="1483"/>
      <c r="AT44" s="451"/>
      <c r="AU44" s="1303" t="str">
        <f>IF(AND(AA42&lt;&gt;7,AC42&lt;&gt;3),"V列に色付け","")</f>
        <v/>
      </c>
      <c r="AV44" s="1304"/>
      <c r="AW44" s="1305"/>
      <c r="AX44" s="574"/>
      <c r="AY44" s="1222" t="str">
        <f>IF(AL44&lt;&gt;"",IF(AM44="○","入力済","未入力"),"")</f>
        <v/>
      </c>
      <c r="AZ44" s="1222"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2" t="str">
        <f>IF(OR(T44="新加算Ⅴ（７）",T44="新加算Ⅴ（９）",T44="新加算Ⅴ（10）",T44="新加算Ⅴ（12）",T44="新加算Ⅴ（13）",T44="新加算Ⅴ（14）"),IF(OR(AO44="○",AO44="令和６年度中に満たす"),"入力済","未入力"),"")</f>
        <v/>
      </c>
      <c r="BB44" s="1222" t="str">
        <f>IF(OR(T44="新加算Ⅰ",T44="新加算Ⅱ",T44="新加算Ⅲ",T44="新加算Ⅴ（１）",T44="新加算Ⅴ（３）",T44="新加算Ⅴ（８）"),IF(OR(AP44="○",AP44="令和６年度中に満たす"),"入力済","未入力"),"")</f>
        <v/>
      </c>
      <c r="BC44" s="1472" t="str">
        <f t="shared" ref="BC44" si="46">IF(OR(T44="新加算Ⅰ",T44="新加算Ⅱ",T44="新加算Ⅴ（１）",T44="新加算Ⅴ（２）",T44="新加算Ⅴ（３）",T44="新加算Ⅴ（４）",T44="新加算Ⅴ（５）",T44="新加算Ⅴ（６）",T44="新加算Ⅴ（７）",T44="新加算Ⅴ（９）",T44="新加算Ⅴ（10）",T44="新加算Ⅴ（12）"),IF(AQ44&lt;&gt;"",1,""),"")</f>
        <v/>
      </c>
      <c r="BD44" s="1303" t="str">
        <f>IF(OR(T44="新加算Ⅰ",T44="新加算Ⅴ（１）",T44="新加算Ⅴ（２）",T44="新加算Ⅴ（５）",T44="新加算Ⅴ（７）",T44="新加算Ⅴ（10）"),IF(AR44="","未入力","入力済"),"")</f>
        <v/>
      </c>
      <c r="BE44" s="1303" t="str">
        <f>G42</f>
        <v/>
      </c>
      <c r="BF44" s="1303"/>
      <c r="BG44" s="1303"/>
    </row>
    <row r="45" spans="1:59" ht="30" customHeight="1" thickBot="1">
      <c r="A45" s="1268"/>
      <c r="B45" s="1411"/>
      <c r="C45" s="1412"/>
      <c r="D45" s="1412"/>
      <c r="E45" s="1412"/>
      <c r="F45" s="1413"/>
      <c r="G45" s="1253"/>
      <c r="H45" s="1253"/>
      <c r="I45" s="1253"/>
      <c r="J45" s="1416"/>
      <c r="K45" s="1253"/>
      <c r="L45" s="1422"/>
      <c r="M45" s="553" t="str">
        <f>IF('別紙様式2-2（４・５月分）'!P37="","",'別紙様式2-2（４・５月分）'!P37)</f>
        <v/>
      </c>
      <c r="N45" s="1394"/>
      <c r="O45" s="1374"/>
      <c r="P45" s="1426"/>
      <c r="Q45" s="1378"/>
      <c r="R45" s="1509"/>
      <c r="S45" s="1382"/>
      <c r="T45" s="1511"/>
      <c r="U45" s="1507"/>
      <c r="V45" s="1388"/>
      <c r="W45" s="1505"/>
      <c r="X45" s="1364"/>
      <c r="Y45" s="1505"/>
      <c r="Z45" s="1364"/>
      <c r="AA45" s="1505"/>
      <c r="AB45" s="1364"/>
      <c r="AC45" s="1505"/>
      <c r="AD45" s="1364"/>
      <c r="AE45" s="1364"/>
      <c r="AF45" s="1364"/>
      <c r="AG45" s="1360"/>
      <c r="AH45" s="1366"/>
      <c r="AI45" s="1499"/>
      <c r="AJ45" s="1370"/>
      <c r="AK45" s="1501"/>
      <c r="AL45" s="1503"/>
      <c r="AM45" s="1495"/>
      <c r="AN45" s="1476"/>
      <c r="AO45" s="1497"/>
      <c r="AP45" s="1476"/>
      <c r="AQ45" s="1478"/>
      <c r="AR45" s="1480"/>
      <c r="AS45" s="575"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1"/>
      <c r="AU45" s="1303"/>
      <c r="AV45" s="555" t="str">
        <f>IF('別紙様式2-2（４・５月分）'!N37="","",'別紙様式2-2（４・５月分）'!N37)</f>
        <v/>
      </c>
      <c r="AW45" s="1305"/>
      <c r="AX45" s="576"/>
      <c r="AY45" s="1222" t="str">
        <f>IF(OR(T45="新加算Ⅰ",T45="新加算Ⅱ",T45="新加算Ⅲ",T45="新加算Ⅳ",T45="新加算Ⅴ（１）",T45="新加算Ⅴ（２）",T45="新加算Ⅴ（３）",T45="新加算ⅠⅤ（４）",T45="新加算Ⅴ（５）",T45="新加算Ⅴ（６）",T45="新加算Ⅴ（８）",T45="新加算Ⅴ（11）"),IF(AI45="○","","未入力"),"")</f>
        <v/>
      </c>
      <c r="AZ45" s="1222" t="str">
        <f>IF(OR(U45="新加算Ⅰ",U45="新加算Ⅱ",U45="新加算Ⅲ",U45="新加算Ⅳ",U45="新加算Ⅴ（１）",U45="新加算Ⅴ（２）",U45="新加算Ⅴ（３）",U45="新加算ⅠⅤ（４）",U45="新加算Ⅴ（５）",U45="新加算Ⅴ（６）",U45="新加算Ⅴ（８）",U45="新加算Ⅴ（11）"),IF(AJ45="○","","未入力"),"")</f>
        <v/>
      </c>
      <c r="BA45" s="1222" t="str">
        <f>IF(OR(U45="新加算Ⅴ（７）",U45="新加算Ⅴ（９）",U45="新加算Ⅴ（10）",U45="新加算Ⅴ（12）",U45="新加算Ⅴ（13）",U45="新加算Ⅴ（14）"),IF(AK45="○","","未入力"),"")</f>
        <v/>
      </c>
      <c r="BB45" s="1222" t="str">
        <f>IF(OR(U45="新加算Ⅰ",U45="新加算Ⅱ",U45="新加算Ⅲ",U45="新加算Ⅴ（１）",U45="新加算Ⅴ（３）",U45="新加算Ⅴ（８）"),IF(AL45="○","","未入力"),"")</f>
        <v/>
      </c>
      <c r="BC45" s="1472"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03" t="str">
        <f>IF(AND(T45&lt;&gt;"（参考）令和７年度の移行予定",OR(U45="新加算Ⅰ",U45="新加算Ⅴ（１）",U45="新加算Ⅴ（２）",U45="新加算Ⅴ（５）",U45="新加算Ⅴ（７）",U45="新加算Ⅴ（10）")),IF(AN45="","未入力",IF(AN45="いずれも取得していない","要件を満たさない","")),"")</f>
        <v/>
      </c>
      <c r="BE45" s="1303" t="str">
        <f>G42</f>
        <v/>
      </c>
      <c r="BF45" s="1303"/>
      <c r="BG45" s="1303"/>
    </row>
    <row r="46" spans="1:59" ht="30" customHeight="1">
      <c r="A46" s="1266">
        <v>9</v>
      </c>
      <c r="B46" s="1232" t="str">
        <f>IF(基本情報入力シート!C62="","",基本情報入力シート!C62)</f>
        <v/>
      </c>
      <c r="C46" s="1233"/>
      <c r="D46" s="1233"/>
      <c r="E46" s="1233"/>
      <c r="F46" s="1234"/>
      <c r="G46" s="1251" t="str">
        <f>IF(基本情報入力シート!M62="","",基本情報入力シート!M62)</f>
        <v/>
      </c>
      <c r="H46" s="1251" t="str">
        <f>IF(基本情報入力シート!R62="","",基本情報入力シート!R62)</f>
        <v/>
      </c>
      <c r="I46" s="1251" t="str">
        <f>IF(基本情報入力シート!W62="","",基本情報入力シート!W62)</f>
        <v/>
      </c>
      <c r="J46" s="1414" t="str">
        <f>IF(基本情報入力シート!X62="","",基本情報入力シート!X62)</f>
        <v/>
      </c>
      <c r="K46" s="1251" t="str">
        <f>IF(基本情報入力シート!Y62="","",基本情報入力シート!Y62)</f>
        <v/>
      </c>
      <c r="L46" s="1427" t="str">
        <f>IF(基本情報入力シート!AB62="","",基本情報入力シート!AB62)</f>
        <v/>
      </c>
      <c r="M46" s="550" t="str">
        <f>IF('別紙様式2-2（４・５月分）'!P38="","",'別紙様式2-2（４・５月分）'!P38)</f>
        <v/>
      </c>
      <c r="N46" s="1391" t="str">
        <f>IF(SUM('別紙様式2-2（４・５月分）'!Q38:Q40)=0,"",SUM('別紙様式2-2（４・５月分）'!Q38:Q40))</f>
        <v/>
      </c>
      <c r="O46" s="1395" t="str">
        <f>IFERROR(VLOOKUP('別紙様式2-2（４・５月分）'!AQ38,【参考】数式用!$AR$5:$AS$22,2,FALSE),"")</f>
        <v/>
      </c>
      <c r="P46" s="1396"/>
      <c r="Q46" s="1397"/>
      <c r="R46" s="1531" t="str">
        <f>IFERROR(VLOOKUP(K46,【参考】数式用!$A$5:$AB$37,MATCH(O46,【参考】数式用!$B$4:$AB$4,0)+1,0),"")</f>
        <v/>
      </c>
      <c r="S46" s="1403" t="s">
        <v>2102</v>
      </c>
      <c r="T46" s="1527" t="str">
        <f>IF('別紙様式2-3（６月以降分）'!T46="","",'別紙様式2-3（６月以降分）'!T46)</f>
        <v/>
      </c>
      <c r="U46" s="1529" t="str">
        <f>IFERROR(VLOOKUP(K46,【参考】数式用!$A$5:$AB$37,MATCH(T46,【参考】数式用!$B$4:$AB$4,0)+1,0),"")</f>
        <v/>
      </c>
      <c r="V46" s="1409" t="s">
        <v>15</v>
      </c>
      <c r="W46" s="1525">
        <f>'別紙様式2-3（６月以降分）'!W46</f>
        <v>6</v>
      </c>
      <c r="X46" s="1349" t="s">
        <v>10</v>
      </c>
      <c r="Y46" s="1525">
        <f>'別紙様式2-3（６月以降分）'!Y46</f>
        <v>6</v>
      </c>
      <c r="Z46" s="1349" t="s">
        <v>38</v>
      </c>
      <c r="AA46" s="1525">
        <f>'別紙様式2-3（６月以降分）'!AA46</f>
        <v>7</v>
      </c>
      <c r="AB46" s="1349" t="s">
        <v>10</v>
      </c>
      <c r="AC46" s="1525">
        <f>'別紙様式2-3（６月以降分）'!AC46</f>
        <v>3</v>
      </c>
      <c r="AD46" s="1349" t="s">
        <v>2020</v>
      </c>
      <c r="AE46" s="1349" t="s">
        <v>20</v>
      </c>
      <c r="AF46" s="1349">
        <f>IF(W46&gt;=1,(AA46*12+AC46)-(W46*12+Y46)+1,"")</f>
        <v>10</v>
      </c>
      <c r="AG46" s="1351" t="s">
        <v>33</v>
      </c>
      <c r="AH46" s="1517" t="str">
        <f>'別紙様式2-3（６月以降分）'!AH46</f>
        <v/>
      </c>
      <c r="AI46" s="1519" t="str">
        <f>'別紙様式2-3（６月以降分）'!AI46</f>
        <v/>
      </c>
      <c r="AJ46" s="1521">
        <f>'別紙様式2-3（６月以降分）'!AJ46</f>
        <v>0</v>
      </c>
      <c r="AK46" s="1523" t="str">
        <f>IF('別紙様式2-3（６月以降分）'!AK46="","",'別紙様式2-3（６月以降分）'!AK46)</f>
        <v/>
      </c>
      <c r="AL46" s="1512">
        <f>'別紙様式2-3（６月以降分）'!AL46</f>
        <v>0</v>
      </c>
      <c r="AM46" s="1514" t="str">
        <f>IF('別紙様式2-3（６月以降分）'!AM46="","",'別紙様式2-3（６月以降分）'!AM46)</f>
        <v/>
      </c>
      <c r="AN46" s="1333" t="str">
        <f>IF('別紙様式2-3（６月以降分）'!AN46="","",'別紙様式2-3（６月以降分）'!AN46)</f>
        <v/>
      </c>
      <c r="AO46" s="1331" t="str">
        <f>IF('別紙様式2-3（６月以降分）'!AO46="","",'別紙様式2-3（６月以降分）'!AO46)</f>
        <v/>
      </c>
      <c r="AP46" s="1333" t="str">
        <f>IF('別紙様式2-3（６月以降分）'!AP46="","",'別紙様式2-3（６月以降分）'!AP46)</f>
        <v/>
      </c>
      <c r="AQ46" s="1481" t="str">
        <f>IF('別紙様式2-3（６月以降分）'!AQ46="","",'別紙様式2-3（６月以降分）'!AQ46)</f>
        <v/>
      </c>
      <c r="AR46" s="1484" t="str">
        <f>IF('別紙様式2-3（６月以降分）'!AR46="","",'別紙様式2-3（６月以降分）'!AR46)</f>
        <v/>
      </c>
      <c r="AS46" s="570" t="str">
        <f t="shared" ref="AS46" si="49">IF(AU48="","",IF(U48&lt;U46,"！加算の要件上は問題ありませんが、令和６年度当初の新加算の加算率と比較して、移行後の加算率が下がる計画になっています。",""))</f>
        <v/>
      </c>
      <c r="AT46" s="577"/>
      <c r="AU46" s="1301"/>
      <c r="AV46" s="555" t="str">
        <f>IF('別紙様式2-2（４・５月分）'!N38="","",'別紙様式2-2（４・５月分）'!N38)</f>
        <v/>
      </c>
      <c r="AW46" s="1305" t="str">
        <f>IF(SUM('別紙様式2-2（４・５月分）'!O38:O40)=0,"",SUM('別紙様式2-2（４・５月分）'!O38:O40))</f>
        <v/>
      </c>
      <c r="AX46" s="1473" t="str">
        <f>IFERROR(VLOOKUP(K46,【参考】数式用!$AH$2:$AI$34,2,FALSE),"")</f>
        <v/>
      </c>
      <c r="AY46" s="493"/>
      <c r="BD46" s="340"/>
      <c r="BE46" s="1303" t="str">
        <f>G46</f>
        <v/>
      </c>
      <c r="BF46" s="1303"/>
      <c r="BG46" s="1303"/>
    </row>
    <row r="47" spans="1:59" ht="15" customHeight="1">
      <c r="A47" s="1267"/>
      <c r="B47" s="1235"/>
      <c r="C47" s="1236"/>
      <c r="D47" s="1236"/>
      <c r="E47" s="1236"/>
      <c r="F47" s="1237"/>
      <c r="G47" s="1252"/>
      <c r="H47" s="1252"/>
      <c r="I47" s="1252"/>
      <c r="J47" s="1415"/>
      <c r="K47" s="1252"/>
      <c r="L47" s="1421"/>
      <c r="M47" s="1371" t="str">
        <f>IF('別紙様式2-2（４・５月分）'!P39="","",'別紙様式2-2（４・５月分）'!P39)</f>
        <v/>
      </c>
      <c r="N47" s="1392"/>
      <c r="O47" s="1398"/>
      <c r="P47" s="1399"/>
      <c r="Q47" s="1400"/>
      <c r="R47" s="1532"/>
      <c r="S47" s="1404"/>
      <c r="T47" s="1528"/>
      <c r="U47" s="1530"/>
      <c r="V47" s="1410"/>
      <c r="W47" s="1526"/>
      <c r="X47" s="1350"/>
      <c r="Y47" s="1526"/>
      <c r="Z47" s="1350"/>
      <c r="AA47" s="1526"/>
      <c r="AB47" s="1350"/>
      <c r="AC47" s="1526"/>
      <c r="AD47" s="1350"/>
      <c r="AE47" s="1350"/>
      <c r="AF47" s="1350"/>
      <c r="AG47" s="1352"/>
      <c r="AH47" s="1518"/>
      <c r="AI47" s="1520"/>
      <c r="AJ47" s="1522"/>
      <c r="AK47" s="1524"/>
      <c r="AL47" s="1513"/>
      <c r="AM47" s="1515"/>
      <c r="AN47" s="1334"/>
      <c r="AO47" s="1516"/>
      <c r="AP47" s="1334"/>
      <c r="AQ47" s="1482"/>
      <c r="AR47" s="1485"/>
      <c r="AS47" s="1483" t="str">
        <f t="shared" ref="AS47" si="50">IF(AU48="","",IF(OR(AA48="",AA48&lt;&gt;7,AC48="",AC48&lt;&gt;3),"！算定期間の終わりが令和７年３月になっていません。年度内の廃止予定等がなければ、算定対象月を令和７年３月にしてください。",""))</f>
        <v/>
      </c>
      <c r="AT47" s="577"/>
      <c r="AU47" s="1303"/>
      <c r="AV47" s="1304" t="str">
        <f>IF('別紙様式2-2（４・５月分）'!N39="","",'別紙様式2-2（４・５月分）'!N39)</f>
        <v/>
      </c>
      <c r="AW47" s="1305"/>
      <c r="AX47" s="1474"/>
      <c r="AY47" s="430"/>
      <c r="BD47" s="340"/>
      <c r="BE47" s="1303" t="str">
        <f>G46</f>
        <v/>
      </c>
      <c r="BF47" s="1303"/>
      <c r="BG47" s="1303"/>
    </row>
    <row r="48" spans="1:59" ht="15" customHeight="1">
      <c r="A48" s="1295"/>
      <c r="B48" s="1235"/>
      <c r="C48" s="1236"/>
      <c r="D48" s="1236"/>
      <c r="E48" s="1236"/>
      <c r="F48" s="1237"/>
      <c r="G48" s="1252"/>
      <c r="H48" s="1252"/>
      <c r="I48" s="1252"/>
      <c r="J48" s="1415"/>
      <c r="K48" s="1252"/>
      <c r="L48" s="1421"/>
      <c r="M48" s="1372"/>
      <c r="N48" s="1393"/>
      <c r="O48" s="1373" t="s">
        <v>2025</v>
      </c>
      <c r="P48" s="1425" t="str">
        <f>IFERROR(VLOOKUP('別紙様式2-2（４・５月分）'!AQ38,【参考】数式用!$AR$5:$AT$22,3,FALSE),"")</f>
        <v/>
      </c>
      <c r="Q48" s="1377" t="s">
        <v>2036</v>
      </c>
      <c r="R48" s="1508" t="str">
        <f>IFERROR(VLOOKUP(K46,【参考】数式用!$A$5:$AB$37,MATCH(P48,【参考】数式用!$B$4:$AB$4,0)+1,0),"")</f>
        <v/>
      </c>
      <c r="S48" s="1381" t="s">
        <v>2109</v>
      </c>
      <c r="T48" s="1510"/>
      <c r="U48" s="1506" t="str">
        <f>IFERROR(VLOOKUP(K46,【参考】数式用!$A$5:$AB$37,MATCH(T48,【参考】数式用!$B$4:$AB$4,0)+1,0),"")</f>
        <v/>
      </c>
      <c r="V48" s="1387" t="s">
        <v>15</v>
      </c>
      <c r="W48" s="1504"/>
      <c r="X48" s="1363" t="s">
        <v>10</v>
      </c>
      <c r="Y48" s="1504"/>
      <c r="Z48" s="1363" t="s">
        <v>38</v>
      </c>
      <c r="AA48" s="1504"/>
      <c r="AB48" s="1363" t="s">
        <v>10</v>
      </c>
      <c r="AC48" s="1504"/>
      <c r="AD48" s="1363" t="s">
        <v>2020</v>
      </c>
      <c r="AE48" s="1363" t="s">
        <v>20</v>
      </c>
      <c r="AF48" s="1363" t="str">
        <f>IF(W48&gt;=1,(AA48*12+AC48)-(W48*12+Y48)+1,"")</f>
        <v/>
      </c>
      <c r="AG48" s="1359" t="s">
        <v>33</v>
      </c>
      <c r="AH48" s="1365" t="str">
        <f t="shared" ref="AH48" si="51">IFERROR(ROUNDDOWN(ROUND(L46*U48,0),0)*AF48,"")</f>
        <v/>
      </c>
      <c r="AI48" s="1498" t="str">
        <f t="shared" ref="AI48" si="52">IFERROR(ROUNDDOWN(ROUND((L46*(U48-AW46)),0),0)*AF48,"")</f>
        <v/>
      </c>
      <c r="AJ48" s="1369" t="str">
        <f>IFERROR(ROUNDDOWN(ROUNDDOWN(ROUND(L46*VLOOKUP(K46,【参考】数式用!$A$5:$AB$27,MATCH("新加算Ⅳ",【参考】数式用!$B$4:$AB$4,0)+1,0),0),0)*AF48*0.5,0),"")</f>
        <v/>
      </c>
      <c r="AK48" s="1500"/>
      <c r="AL48" s="1502" t="str">
        <f>IFERROR(IF('別紙様式2-2（４・５月分）'!P48="ベア加算","", IF(OR(T48="新加算Ⅰ",T48="新加算Ⅱ",T48="新加算Ⅲ",T48="新加算Ⅳ"),ROUNDDOWN(ROUND(L46*VLOOKUP(K46,【参考】数式用!$A$5:$I$27,MATCH("ベア加算",【参考】数式用!$B$4:$I$4,0)+1,0),0),0)*AF48,"")),"")</f>
        <v/>
      </c>
      <c r="AM48" s="1494"/>
      <c r="AN48" s="1475"/>
      <c r="AO48" s="1496"/>
      <c r="AP48" s="1475"/>
      <c r="AQ48" s="1477"/>
      <c r="AR48" s="1479"/>
      <c r="AS48" s="1483"/>
      <c r="AT48" s="451"/>
      <c r="AU48" s="1303" t="str">
        <f>IF(AND(AA46&lt;&gt;7,AC46&lt;&gt;3),"V列に色付け","")</f>
        <v/>
      </c>
      <c r="AV48" s="1304"/>
      <c r="AW48" s="1305"/>
      <c r="AX48" s="574"/>
      <c r="AY48" s="1222" t="str">
        <f>IF(AL48&lt;&gt;"",IF(AM48="○","入力済","未入力"),"")</f>
        <v/>
      </c>
      <c r="AZ48" s="1222"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2" t="str">
        <f>IF(OR(T48="新加算Ⅴ（７）",T48="新加算Ⅴ（９）",T48="新加算Ⅴ（10）",T48="新加算Ⅴ（12）",T48="新加算Ⅴ（13）",T48="新加算Ⅴ（14）"),IF(OR(AO48="○",AO48="令和６年度中に満たす"),"入力済","未入力"),"")</f>
        <v/>
      </c>
      <c r="BB48" s="1222" t="str">
        <f>IF(OR(T48="新加算Ⅰ",T48="新加算Ⅱ",T48="新加算Ⅲ",T48="新加算Ⅴ（１）",T48="新加算Ⅴ（３）",T48="新加算Ⅴ（８）"),IF(OR(AP48="○",AP48="令和６年度中に満たす"),"入力済","未入力"),"")</f>
        <v/>
      </c>
      <c r="BC48" s="1472" t="str">
        <f t="shared" ref="BC48" si="53">IF(OR(T48="新加算Ⅰ",T48="新加算Ⅱ",T48="新加算Ⅴ（１）",T48="新加算Ⅴ（２）",T48="新加算Ⅴ（３）",T48="新加算Ⅴ（４）",T48="新加算Ⅴ（５）",T48="新加算Ⅴ（６）",T48="新加算Ⅴ（７）",T48="新加算Ⅴ（９）",T48="新加算Ⅴ（10）",T48="新加算Ⅴ（12）"),IF(AQ48&lt;&gt;"",1,""),"")</f>
        <v/>
      </c>
      <c r="BD48" s="1303" t="str">
        <f>IF(OR(T48="新加算Ⅰ",T48="新加算Ⅴ（１）",T48="新加算Ⅴ（２）",T48="新加算Ⅴ（５）",T48="新加算Ⅴ（７）",T48="新加算Ⅴ（10）"),IF(AR48="","未入力","入力済"),"")</f>
        <v/>
      </c>
      <c r="BE48" s="1303" t="str">
        <f>G46</f>
        <v/>
      </c>
      <c r="BF48" s="1303"/>
      <c r="BG48" s="1303"/>
    </row>
    <row r="49" spans="1:59" ht="30" customHeight="1" thickBot="1">
      <c r="A49" s="1268"/>
      <c r="B49" s="1411"/>
      <c r="C49" s="1412"/>
      <c r="D49" s="1412"/>
      <c r="E49" s="1412"/>
      <c r="F49" s="1413"/>
      <c r="G49" s="1253"/>
      <c r="H49" s="1253"/>
      <c r="I49" s="1253"/>
      <c r="J49" s="1416"/>
      <c r="K49" s="1253"/>
      <c r="L49" s="1422"/>
      <c r="M49" s="553" t="str">
        <f>IF('別紙様式2-2（４・５月分）'!P40="","",'別紙様式2-2（４・５月分）'!P40)</f>
        <v/>
      </c>
      <c r="N49" s="1394"/>
      <c r="O49" s="1374"/>
      <c r="P49" s="1426"/>
      <c r="Q49" s="1378"/>
      <c r="R49" s="1509"/>
      <c r="S49" s="1382"/>
      <c r="T49" s="1511"/>
      <c r="U49" s="1507"/>
      <c r="V49" s="1388"/>
      <c r="W49" s="1505"/>
      <c r="X49" s="1364"/>
      <c r="Y49" s="1505"/>
      <c r="Z49" s="1364"/>
      <c r="AA49" s="1505"/>
      <c r="AB49" s="1364"/>
      <c r="AC49" s="1505"/>
      <c r="AD49" s="1364"/>
      <c r="AE49" s="1364"/>
      <c r="AF49" s="1364"/>
      <c r="AG49" s="1360"/>
      <c r="AH49" s="1366"/>
      <c r="AI49" s="1499"/>
      <c r="AJ49" s="1370"/>
      <c r="AK49" s="1501"/>
      <c r="AL49" s="1503"/>
      <c r="AM49" s="1495"/>
      <c r="AN49" s="1476"/>
      <c r="AO49" s="1497"/>
      <c r="AP49" s="1476"/>
      <c r="AQ49" s="1478"/>
      <c r="AR49" s="1480"/>
      <c r="AS49" s="575"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1"/>
      <c r="AU49" s="1303"/>
      <c r="AV49" s="555" t="str">
        <f>IF('別紙様式2-2（４・５月分）'!N40="","",'別紙様式2-2（４・５月分）'!N40)</f>
        <v/>
      </c>
      <c r="AW49" s="1305"/>
      <c r="AX49" s="576"/>
      <c r="AY49" s="1222" t="str">
        <f>IF(OR(T49="新加算Ⅰ",T49="新加算Ⅱ",T49="新加算Ⅲ",T49="新加算Ⅳ",T49="新加算Ⅴ（１）",T49="新加算Ⅴ（２）",T49="新加算Ⅴ（３）",T49="新加算ⅠⅤ（４）",T49="新加算Ⅴ（５）",T49="新加算Ⅴ（６）",T49="新加算Ⅴ（８）",T49="新加算Ⅴ（11）"),IF(AI49="○","","未入力"),"")</f>
        <v/>
      </c>
      <c r="AZ49" s="1222" t="str">
        <f>IF(OR(U49="新加算Ⅰ",U49="新加算Ⅱ",U49="新加算Ⅲ",U49="新加算Ⅳ",U49="新加算Ⅴ（１）",U49="新加算Ⅴ（２）",U49="新加算Ⅴ（３）",U49="新加算ⅠⅤ（４）",U49="新加算Ⅴ（５）",U49="新加算Ⅴ（６）",U49="新加算Ⅴ（８）",U49="新加算Ⅴ（11）"),IF(AJ49="○","","未入力"),"")</f>
        <v/>
      </c>
      <c r="BA49" s="1222" t="str">
        <f>IF(OR(U49="新加算Ⅴ（７）",U49="新加算Ⅴ（９）",U49="新加算Ⅴ（10）",U49="新加算Ⅴ（12）",U49="新加算Ⅴ（13）",U49="新加算Ⅴ（14）"),IF(AK49="○","","未入力"),"")</f>
        <v/>
      </c>
      <c r="BB49" s="1222" t="str">
        <f>IF(OR(U49="新加算Ⅰ",U49="新加算Ⅱ",U49="新加算Ⅲ",U49="新加算Ⅴ（１）",U49="新加算Ⅴ（３）",U49="新加算Ⅴ（８）"),IF(AL49="○","","未入力"),"")</f>
        <v/>
      </c>
      <c r="BC49" s="1472"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03" t="str">
        <f>IF(AND(T49&lt;&gt;"（参考）令和７年度の移行予定",OR(U49="新加算Ⅰ",U49="新加算Ⅴ（１）",U49="新加算Ⅴ（２）",U49="新加算Ⅴ（５）",U49="新加算Ⅴ（７）",U49="新加算Ⅴ（10）")),IF(AN49="","未入力",IF(AN49="いずれも取得していない","要件を満たさない","")),"")</f>
        <v/>
      </c>
      <c r="BE49" s="1303" t="str">
        <f>G46</f>
        <v/>
      </c>
      <c r="BF49" s="1303"/>
      <c r="BG49" s="1303"/>
    </row>
    <row r="50" spans="1:59" ht="30" customHeight="1">
      <c r="A50" s="1266">
        <v>10</v>
      </c>
      <c r="B50" s="1232" t="str">
        <f>IF(基本情報入力シート!C63="","",基本情報入力シート!C63)</f>
        <v/>
      </c>
      <c r="C50" s="1233"/>
      <c r="D50" s="1233"/>
      <c r="E50" s="1233"/>
      <c r="F50" s="1234"/>
      <c r="G50" s="1251" t="str">
        <f>IF(基本情報入力シート!M63="","",基本情報入力シート!M63)</f>
        <v/>
      </c>
      <c r="H50" s="1251" t="str">
        <f>IF(基本情報入力シート!R63="","",基本情報入力シート!R63)</f>
        <v/>
      </c>
      <c r="I50" s="1251" t="str">
        <f>IF(基本情報入力シート!W63="","",基本情報入力シート!W63)</f>
        <v/>
      </c>
      <c r="J50" s="1414" t="str">
        <f>IF(基本情報入力シート!X63="","",基本情報入力シート!X63)</f>
        <v/>
      </c>
      <c r="K50" s="1251" t="str">
        <f>IF(基本情報入力シート!Y63="","",基本情報入力シート!Y63)</f>
        <v/>
      </c>
      <c r="L50" s="1427" t="str">
        <f>IF(基本情報入力シート!AB63="","",基本情報入力シート!AB63)</f>
        <v/>
      </c>
      <c r="M50" s="550" t="str">
        <f>IF('別紙様式2-2（４・５月分）'!P41="","",'別紙様式2-2（４・５月分）'!P41)</f>
        <v/>
      </c>
      <c r="N50" s="1391" t="str">
        <f>IF(SUM('別紙様式2-2（４・５月分）'!Q41:Q43)=0,"",SUM('別紙様式2-2（４・５月分）'!Q41:Q43))</f>
        <v/>
      </c>
      <c r="O50" s="1395" t="str">
        <f>IFERROR(VLOOKUP('別紙様式2-2（４・５月分）'!AQ41,【参考】数式用!$AR$5:$AS$22,2,FALSE),"")</f>
        <v/>
      </c>
      <c r="P50" s="1396"/>
      <c r="Q50" s="1397"/>
      <c r="R50" s="1531" t="str">
        <f>IFERROR(VLOOKUP(K50,【参考】数式用!$A$5:$AB$37,MATCH(O50,【参考】数式用!$B$4:$AB$4,0)+1,0),"")</f>
        <v/>
      </c>
      <c r="S50" s="1403" t="s">
        <v>2102</v>
      </c>
      <c r="T50" s="1527" t="str">
        <f>IF('別紙様式2-3（６月以降分）'!T50="","",'別紙様式2-3（６月以降分）'!T50)</f>
        <v/>
      </c>
      <c r="U50" s="1529" t="str">
        <f>IFERROR(VLOOKUP(K50,【参考】数式用!$A$5:$AB$37,MATCH(T50,【参考】数式用!$B$4:$AB$4,0)+1,0),"")</f>
        <v/>
      </c>
      <c r="V50" s="1409" t="s">
        <v>15</v>
      </c>
      <c r="W50" s="1525">
        <f>'別紙様式2-3（６月以降分）'!W50</f>
        <v>6</v>
      </c>
      <c r="X50" s="1349" t="s">
        <v>10</v>
      </c>
      <c r="Y50" s="1525">
        <f>'別紙様式2-3（６月以降分）'!Y50</f>
        <v>6</v>
      </c>
      <c r="Z50" s="1349" t="s">
        <v>38</v>
      </c>
      <c r="AA50" s="1525">
        <f>'別紙様式2-3（６月以降分）'!AA50</f>
        <v>7</v>
      </c>
      <c r="AB50" s="1349" t="s">
        <v>10</v>
      </c>
      <c r="AC50" s="1525">
        <f>'別紙様式2-3（６月以降分）'!AC50</f>
        <v>3</v>
      </c>
      <c r="AD50" s="1349" t="s">
        <v>2020</v>
      </c>
      <c r="AE50" s="1349" t="s">
        <v>20</v>
      </c>
      <c r="AF50" s="1349">
        <f>IF(W50&gt;=1,(AA50*12+AC50)-(W50*12+Y50)+1,"")</f>
        <v>10</v>
      </c>
      <c r="AG50" s="1351" t="s">
        <v>33</v>
      </c>
      <c r="AH50" s="1517" t="str">
        <f>'別紙様式2-3（６月以降分）'!AH50</f>
        <v/>
      </c>
      <c r="AI50" s="1519" t="str">
        <f>'別紙様式2-3（６月以降分）'!AI50</f>
        <v/>
      </c>
      <c r="AJ50" s="1521">
        <f>'別紙様式2-3（６月以降分）'!AJ50</f>
        <v>0</v>
      </c>
      <c r="AK50" s="1523" t="str">
        <f>IF('別紙様式2-3（６月以降分）'!AK50="","",'別紙様式2-3（６月以降分）'!AK50)</f>
        <v/>
      </c>
      <c r="AL50" s="1512">
        <f>'別紙様式2-3（６月以降分）'!AL50</f>
        <v>0</v>
      </c>
      <c r="AM50" s="1514" t="str">
        <f>IF('別紙様式2-3（６月以降分）'!AM50="","",'別紙様式2-3（６月以降分）'!AM50)</f>
        <v/>
      </c>
      <c r="AN50" s="1333" t="str">
        <f>IF('別紙様式2-3（６月以降分）'!AN50="","",'別紙様式2-3（６月以降分）'!AN50)</f>
        <v/>
      </c>
      <c r="AO50" s="1331" t="str">
        <f>IF('別紙様式2-3（６月以降分）'!AO50="","",'別紙様式2-3（６月以降分）'!AO50)</f>
        <v/>
      </c>
      <c r="AP50" s="1333" t="str">
        <f>IF('別紙様式2-3（６月以降分）'!AP50="","",'別紙様式2-3（６月以降分）'!AP50)</f>
        <v/>
      </c>
      <c r="AQ50" s="1481" t="str">
        <f>IF('別紙様式2-3（６月以降分）'!AQ50="","",'別紙様式2-3（６月以降分）'!AQ50)</f>
        <v/>
      </c>
      <c r="AR50" s="1484" t="str">
        <f>IF('別紙様式2-3（６月以降分）'!AR50="","",'別紙様式2-3（６月以降分）'!AR50)</f>
        <v/>
      </c>
      <c r="AS50" s="570" t="str">
        <f t="shared" ref="AS50" si="56">IF(AU52="","",IF(U52&lt;U50,"！加算の要件上は問題ありませんが、令和６年度当初の新加算の加算率と比較して、移行後の加算率が下がる計画になっています。",""))</f>
        <v/>
      </c>
      <c r="AT50" s="577"/>
      <c r="AU50" s="1301"/>
      <c r="AV50" s="555" t="str">
        <f>IF('別紙様式2-2（４・５月分）'!N41="","",'別紙様式2-2（４・５月分）'!N41)</f>
        <v/>
      </c>
      <c r="AW50" s="1305" t="str">
        <f>IF(SUM('別紙様式2-2（４・５月分）'!O41:O43)=0,"",SUM('別紙様式2-2（４・５月分）'!O41:O43))</f>
        <v/>
      </c>
      <c r="AX50" s="1473" t="str">
        <f>IFERROR(VLOOKUP(K50,【参考】数式用!$AH$2:$AI$34,2,FALSE),"")</f>
        <v/>
      </c>
      <c r="AY50" s="493"/>
      <c r="BD50" s="340"/>
      <c r="BE50" s="1303" t="str">
        <f>G50</f>
        <v/>
      </c>
      <c r="BF50" s="1303"/>
      <c r="BG50" s="1303"/>
    </row>
    <row r="51" spans="1:59" ht="15" customHeight="1">
      <c r="A51" s="1267"/>
      <c r="B51" s="1235"/>
      <c r="C51" s="1236"/>
      <c r="D51" s="1236"/>
      <c r="E51" s="1236"/>
      <c r="F51" s="1237"/>
      <c r="G51" s="1252"/>
      <c r="H51" s="1252"/>
      <c r="I51" s="1252"/>
      <c r="J51" s="1415"/>
      <c r="K51" s="1252"/>
      <c r="L51" s="1421"/>
      <c r="M51" s="1371" t="str">
        <f>IF('別紙様式2-2（４・５月分）'!P42="","",'別紙様式2-2（４・５月分）'!P42)</f>
        <v/>
      </c>
      <c r="N51" s="1392"/>
      <c r="O51" s="1398"/>
      <c r="P51" s="1399"/>
      <c r="Q51" s="1400"/>
      <c r="R51" s="1532"/>
      <c r="S51" s="1404"/>
      <c r="T51" s="1528"/>
      <c r="U51" s="1530"/>
      <c r="V51" s="1410"/>
      <c r="W51" s="1526"/>
      <c r="X51" s="1350"/>
      <c r="Y51" s="1526"/>
      <c r="Z51" s="1350"/>
      <c r="AA51" s="1526"/>
      <c r="AB51" s="1350"/>
      <c r="AC51" s="1526"/>
      <c r="AD51" s="1350"/>
      <c r="AE51" s="1350"/>
      <c r="AF51" s="1350"/>
      <c r="AG51" s="1352"/>
      <c r="AH51" s="1518"/>
      <c r="AI51" s="1520"/>
      <c r="AJ51" s="1522"/>
      <c r="AK51" s="1524"/>
      <c r="AL51" s="1513"/>
      <c r="AM51" s="1515"/>
      <c r="AN51" s="1334"/>
      <c r="AO51" s="1516"/>
      <c r="AP51" s="1334"/>
      <c r="AQ51" s="1482"/>
      <c r="AR51" s="1485"/>
      <c r="AS51" s="1483" t="str">
        <f t="shared" ref="AS51" si="57">IF(AU52="","",IF(OR(AA52="",AA52&lt;&gt;7,AC52="",AC52&lt;&gt;3),"！算定期間の終わりが令和７年３月になっていません。年度内の廃止予定等がなければ、算定対象月を令和７年３月にしてください。",""))</f>
        <v/>
      </c>
      <c r="AT51" s="577"/>
      <c r="AU51" s="1303"/>
      <c r="AV51" s="1304" t="str">
        <f>IF('別紙様式2-2（４・５月分）'!N42="","",'別紙様式2-2（４・５月分）'!N42)</f>
        <v/>
      </c>
      <c r="AW51" s="1305"/>
      <c r="AX51" s="1474"/>
      <c r="AY51" s="430"/>
      <c r="BD51" s="340"/>
      <c r="BE51" s="1303" t="str">
        <f>G50</f>
        <v/>
      </c>
      <c r="BF51" s="1303"/>
      <c r="BG51" s="1303"/>
    </row>
    <row r="52" spans="1:59" ht="15" customHeight="1">
      <c r="A52" s="1295"/>
      <c r="B52" s="1235"/>
      <c r="C52" s="1236"/>
      <c r="D52" s="1236"/>
      <c r="E52" s="1236"/>
      <c r="F52" s="1237"/>
      <c r="G52" s="1252"/>
      <c r="H52" s="1252"/>
      <c r="I52" s="1252"/>
      <c r="J52" s="1415"/>
      <c r="K52" s="1252"/>
      <c r="L52" s="1421"/>
      <c r="M52" s="1372"/>
      <c r="N52" s="1393"/>
      <c r="O52" s="1373" t="s">
        <v>2025</v>
      </c>
      <c r="P52" s="1425" t="str">
        <f>IFERROR(VLOOKUP('別紙様式2-2（４・５月分）'!AQ41,【参考】数式用!$AR$5:$AT$22,3,FALSE),"")</f>
        <v/>
      </c>
      <c r="Q52" s="1377" t="s">
        <v>2036</v>
      </c>
      <c r="R52" s="1508" t="str">
        <f>IFERROR(VLOOKUP(K50,【参考】数式用!$A$5:$AB$37,MATCH(P52,【参考】数式用!$B$4:$AB$4,0)+1,0),"")</f>
        <v/>
      </c>
      <c r="S52" s="1381" t="s">
        <v>2109</v>
      </c>
      <c r="T52" s="1510"/>
      <c r="U52" s="1506" t="str">
        <f>IFERROR(VLOOKUP(K50,【参考】数式用!$A$5:$AB$37,MATCH(T52,【参考】数式用!$B$4:$AB$4,0)+1,0),"")</f>
        <v/>
      </c>
      <c r="V52" s="1387" t="s">
        <v>15</v>
      </c>
      <c r="W52" s="1504"/>
      <c r="X52" s="1363" t="s">
        <v>10</v>
      </c>
      <c r="Y52" s="1504"/>
      <c r="Z52" s="1363" t="s">
        <v>38</v>
      </c>
      <c r="AA52" s="1504"/>
      <c r="AB52" s="1363" t="s">
        <v>10</v>
      </c>
      <c r="AC52" s="1504"/>
      <c r="AD52" s="1363" t="s">
        <v>2020</v>
      </c>
      <c r="AE52" s="1363" t="s">
        <v>20</v>
      </c>
      <c r="AF52" s="1363" t="str">
        <f>IF(W52&gt;=1,(AA52*12+AC52)-(W52*12+Y52)+1,"")</f>
        <v/>
      </c>
      <c r="AG52" s="1359" t="s">
        <v>33</v>
      </c>
      <c r="AH52" s="1365" t="str">
        <f t="shared" ref="AH52" si="58">IFERROR(ROUNDDOWN(ROUND(L50*U52,0),0)*AF52,"")</f>
        <v/>
      </c>
      <c r="AI52" s="1498" t="str">
        <f t="shared" ref="AI52" si="59">IFERROR(ROUNDDOWN(ROUND((L50*(U52-AW50)),0),0)*AF52,"")</f>
        <v/>
      </c>
      <c r="AJ52" s="1369" t="str">
        <f>IFERROR(ROUNDDOWN(ROUNDDOWN(ROUND(L50*VLOOKUP(K50,【参考】数式用!$A$5:$AB$27,MATCH("新加算Ⅳ",【参考】数式用!$B$4:$AB$4,0)+1,0),0),0)*AF52*0.5,0),"")</f>
        <v/>
      </c>
      <c r="AK52" s="1500"/>
      <c r="AL52" s="1502" t="str">
        <f>IFERROR(IF('別紙様式2-2（４・５月分）'!P52="ベア加算","", IF(OR(T52="新加算Ⅰ",T52="新加算Ⅱ",T52="新加算Ⅲ",T52="新加算Ⅳ"),ROUNDDOWN(ROUND(L50*VLOOKUP(K50,【参考】数式用!$A$5:$I$27,MATCH("ベア加算",【参考】数式用!$B$4:$I$4,0)+1,0),0),0)*AF52,"")),"")</f>
        <v/>
      </c>
      <c r="AM52" s="1494"/>
      <c r="AN52" s="1475"/>
      <c r="AO52" s="1496"/>
      <c r="AP52" s="1475"/>
      <c r="AQ52" s="1477"/>
      <c r="AR52" s="1479"/>
      <c r="AS52" s="1483"/>
      <c r="AT52" s="451"/>
      <c r="AU52" s="1303" t="str">
        <f>IF(AND(AA50&lt;&gt;7,AC50&lt;&gt;3),"V列に色付け","")</f>
        <v/>
      </c>
      <c r="AV52" s="1304"/>
      <c r="AW52" s="1305"/>
      <c r="AX52" s="574"/>
      <c r="AY52" s="1222" t="str">
        <f>IF(AL52&lt;&gt;"",IF(AM52="○","入力済","未入力"),"")</f>
        <v/>
      </c>
      <c r="AZ52" s="1222"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2" t="str">
        <f>IF(OR(T52="新加算Ⅴ（７）",T52="新加算Ⅴ（９）",T52="新加算Ⅴ（10）",T52="新加算Ⅴ（12）",T52="新加算Ⅴ（13）",T52="新加算Ⅴ（14）"),IF(OR(AO52="○",AO52="令和６年度中に満たす"),"入力済","未入力"),"")</f>
        <v/>
      </c>
      <c r="BB52" s="1222" t="str">
        <f>IF(OR(T52="新加算Ⅰ",T52="新加算Ⅱ",T52="新加算Ⅲ",T52="新加算Ⅴ（１）",T52="新加算Ⅴ（３）",T52="新加算Ⅴ（８）"),IF(OR(AP52="○",AP52="令和６年度中に満たす"),"入力済","未入力"),"")</f>
        <v/>
      </c>
      <c r="BC52" s="1472" t="str">
        <f t="shared" ref="BC52" si="60">IF(OR(T52="新加算Ⅰ",T52="新加算Ⅱ",T52="新加算Ⅴ（１）",T52="新加算Ⅴ（２）",T52="新加算Ⅴ（３）",T52="新加算Ⅴ（４）",T52="新加算Ⅴ（５）",T52="新加算Ⅴ（６）",T52="新加算Ⅴ（７）",T52="新加算Ⅴ（９）",T52="新加算Ⅴ（10）",T52="新加算Ⅴ（12）"),IF(AQ52&lt;&gt;"",1,""),"")</f>
        <v/>
      </c>
      <c r="BD52" s="1303" t="str">
        <f>IF(OR(T52="新加算Ⅰ",T52="新加算Ⅴ（１）",T52="新加算Ⅴ（２）",T52="新加算Ⅴ（５）",T52="新加算Ⅴ（７）",T52="新加算Ⅴ（10）"),IF(AR52="","未入力","入力済"),"")</f>
        <v/>
      </c>
      <c r="BE52" s="1303" t="str">
        <f>G50</f>
        <v/>
      </c>
      <c r="BF52" s="1303"/>
      <c r="BG52" s="1303"/>
    </row>
    <row r="53" spans="1:59" ht="30" customHeight="1" thickBot="1">
      <c r="A53" s="1268"/>
      <c r="B53" s="1411"/>
      <c r="C53" s="1412"/>
      <c r="D53" s="1412"/>
      <c r="E53" s="1412"/>
      <c r="F53" s="1413"/>
      <c r="G53" s="1253"/>
      <c r="H53" s="1253"/>
      <c r="I53" s="1253"/>
      <c r="J53" s="1416"/>
      <c r="K53" s="1253"/>
      <c r="L53" s="1422"/>
      <c r="M53" s="553" t="str">
        <f>IF('別紙様式2-2（４・５月分）'!P43="","",'別紙様式2-2（４・５月分）'!P43)</f>
        <v/>
      </c>
      <c r="N53" s="1394"/>
      <c r="O53" s="1374"/>
      <c r="P53" s="1426"/>
      <c r="Q53" s="1378"/>
      <c r="R53" s="1509"/>
      <c r="S53" s="1382"/>
      <c r="T53" s="1511"/>
      <c r="U53" s="1507"/>
      <c r="V53" s="1388"/>
      <c r="W53" s="1505"/>
      <c r="X53" s="1364"/>
      <c r="Y53" s="1505"/>
      <c r="Z53" s="1364"/>
      <c r="AA53" s="1505"/>
      <c r="AB53" s="1364"/>
      <c r="AC53" s="1505"/>
      <c r="AD53" s="1364"/>
      <c r="AE53" s="1364"/>
      <c r="AF53" s="1364"/>
      <c r="AG53" s="1360"/>
      <c r="AH53" s="1366"/>
      <c r="AI53" s="1499"/>
      <c r="AJ53" s="1370"/>
      <c r="AK53" s="1501"/>
      <c r="AL53" s="1503"/>
      <c r="AM53" s="1495"/>
      <c r="AN53" s="1476"/>
      <c r="AO53" s="1497"/>
      <c r="AP53" s="1476"/>
      <c r="AQ53" s="1478"/>
      <c r="AR53" s="1480"/>
      <c r="AS53" s="575"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1"/>
      <c r="AU53" s="1303"/>
      <c r="AV53" s="555" t="str">
        <f>IF('別紙様式2-2（４・５月分）'!N43="","",'別紙様式2-2（４・５月分）'!N43)</f>
        <v/>
      </c>
      <c r="AW53" s="1305"/>
      <c r="AX53" s="576"/>
      <c r="AY53" s="1222" t="str">
        <f>IF(OR(T53="新加算Ⅰ",T53="新加算Ⅱ",T53="新加算Ⅲ",T53="新加算Ⅳ",T53="新加算Ⅴ（１）",T53="新加算Ⅴ（２）",T53="新加算Ⅴ（３）",T53="新加算ⅠⅤ（４）",T53="新加算Ⅴ（５）",T53="新加算Ⅴ（６）",T53="新加算Ⅴ（８）",T53="新加算Ⅴ（11）"),IF(AI53="○","","未入力"),"")</f>
        <v/>
      </c>
      <c r="AZ53" s="1222" t="str">
        <f>IF(OR(U53="新加算Ⅰ",U53="新加算Ⅱ",U53="新加算Ⅲ",U53="新加算Ⅳ",U53="新加算Ⅴ（１）",U53="新加算Ⅴ（２）",U53="新加算Ⅴ（３）",U53="新加算ⅠⅤ（４）",U53="新加算Ⅴ（５）",U53="新加算Ⅴ（６）",U53="新加算Ⅴ（８）",U53="新加算Ⅴ（11）"),IF(AJ53="○","","未入力"),"")</f>
        <v/>
      </c>
      <c r="BA53" s="1222" t="str">
        <f>IF(OR(U53="新加算Ⅴ（７）",U53="新加算Ⅴ（９）",U53="新加算Ⅴ（10）",U53="新加算Ⅴ（12）",U53="新加算Ⅴ（13）",U53="新加算Ⅴ（14）"),IF(AK53="○","","未入力"),"")</f>
        <v/>
      </c>
      <c r="BB53" s="1222" t="str">
        <f>IF(OR(U53="新加算Ⅰ",U53="新加算Ⅱ",U53="新加算Ⅲ",U53="新加算Ⅴ（１）",U53="新加算Ⅴ（３）",U53="新加算Ⅴ（８）"),IF(AL53="○","","未入力"),"")</f>
        <v/>
      </c>
      <c r="BC53" s="1472"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03" t="str">
        <f>IF(AND(T53&lt;&gt;"（参考）令和７年度の移行予定",OR(U53="新加算Ⅰ",U53="新加算Ⅴ（１）",U53="新加算Ⅴ（２）",U53="新加算Ⅴ（５）",U53="新加算Ⅴ（７）",U53="新加算Ⅴ（10）")),IF(AN53="","未入力",IF(AN53="いずれも取得していない","要件を満たさない","")),"")</f>
        <v/>
      </c>
      <c r="BE53" s="1303" t="str">
        <f>G50</f>
        <v/>
      </c>
      <c r="BF53" s="1303"/>
      <c r="BG53" s="1303"/>
    </row>
    <row r="54" spans="1:59" ht="30" customHeight="1">
      <c r="A54" s="1266">
        <v>11</v>
      </c>
      <c r="B54" s="1232" t="str">
        <f>IF(基本情報入力シート!C64="","",基本情報入力シート!C64)</f>
        <v/>
      </c>
      <c r="C54" s="1233"/>
      <c r="D54" s="1233"/>
      <c r="E54" s="1233"/>
      <c r="F54" s="1234"/>
      <c r="G54" s="1251" t="str">
        <f>IF(基本情報入力シート!M64="","",基本情報入力シート!M64)</f>
        <v/>
      </c>
      <c r="H54" s="1251" t="str">
        <f>IF(基本情報入力シート!R64="","",基本情報入力シート!R64)</f>
        <v/>
      </c>
      <c r="I54" s="1251" t="str">
        <f>IF(基本情報入力シート!W64="","",基本情報入力シート!W64)</f>
        <v/>
      </c>
      <c r="J54" s="1414" t="str">
        <f>IF(基本情報入力シート!X64="","",基本情報入力シート!X64)</f>
        <v/>
      </c>
      <c r="K54" s="1251" t="str">
        <f>IF(基本情報入力シート!Y64="","",基本情報入力シート!Y64)</f>
        <v/>
      </c>
      <c r="L54" s="1427" t="str">
        <f>IF(基本情報入力シート!AB64="","",基本情報入力シート!AB64)</f>
        <v/>
      </c>
      <c r="M54" s="550" t="str">
        <f>IF('別紙様式2-2（４・５月分）'!P44="","",'別紙様式2-2（４・５月分）'!P44)</f>
        <v/>
      </c>
      <c r="N54" s="1391" t="str">
        <f>IF(SUM('別紙様式2-2（４・５月分）'!Q44:Q46)=0,"",SUM('別紙様式2-2（４・５月分）'!Q44:Q46))</f>
        <v/>
      </c>
      <c r="O54" s="1395" t="str">
        <f>IFERROR(VLOOKUP('別紙様式2-2（４・５月分）'!AQ44,【参考】数式用!$AR$5:$AS$22,2,FALSE),"")</f>
        <v/>
      </c>
      <c r="P54" s="1396"/>
      <c r="Q54" s="1397"/>
      <c r="R54" s="1531" t="str">
        <f>IFERROR(VLOOKUP(K54,【参考】数式用!$A$5:$AB$37,MATCH(O54,【参考】数式用!$B$4:$AB$4,0)+1,0),"")</f>
        <v/>
      </c>
      <c r="S54" s="1403" t="s">
        <v>2102</v>
      </c>
      <c r="T54" s="1527" t="str">
        <f>IF('別紙様式2-3（６月以降分）'!T54="","",'別紙様式2-3（６月以降分）'!T54)</f>
        <v/>
      </c>
      <c r="U54" s="1529" t="str">
        <f>IFERROR(VLOOKUP(K54,【参考】数式用!$A$5:$AB$37,MATCH(T54,【参考】数式用!$B$4:$AB$4,0)+1,0),"")</f>
        <v/>
      </c>
      <c r="V54" s="1409" t="s">
        <v>15</v>
      </c>
      <c r="W54" s="1525">
        <f>'別紙様式2-3（６月以降分）'!W54</f>
        <v>6</v>
      </c>
      <c r="X54" s="1349" t="s">
        <v>10</v>
      </c>
      <c r="Y54" s="1525">
        <f>'別紙様式2-3（６月以降分）'!Y54</f>
        <v>6</v>
      </c>
      <c r="Z54" s="1349" t="s">
        <v>38</v>
      </c>
      <c r="AA54" s="1525">
        <f>'別紙様式2-3（６月以降分）'!AA54</f>
        <v>7</v>
      </c>
      <c r="AB54" s="1349" t="s">
        <v>10</v>
      </c>
      <c r="AC54" s="1525">
        <f>'別紙様式2-3（６月以降分）'!AC54</f>
        <v>3</v>
      </c>
      <c r="AD54" s="1349" t="s">
        <v>2020</v>
      </c>
      <c r="AE54" s="1349" t="s">
        <v>20</v>
      </c>
      <c r="AF54" s="1349">
        <f>IF(W54&gt;=1,(AA54*12+AC54)-(W54*12+Y54)+1,"")</f>
        <v>10</v>
      </c>
      <c r="AG54" s="1351" t="s">
        <v>33</v>
      </c>
      <c r="AH54" s="1517" t="str">
        <f>'別紙様式2-3（６月以降分）'!AH54</f>
        <v/>
      </c>
      <c r="AI54" s="1519" t="str">
        <f>'別紙様式2-3（６月以降分）'!AI54</f>
        <v/>
      </c>
      <c r="AJ54" s="1521">
        <f>'別紙様式2-3（６月以降分）'!AJ54</f>
        <v>0</v>
      </c>
      <c r="AK54" s="1523" t="str">
        <f>IF('別紙様式2-3（６月以降分）'!AK54="","",'別紙様式2-3（６月以降分）'!AK54)</f>
        <v/>
      </c>
      <c r="AL54" s="1512">
        <f>'別紙様式2-3（６月以降分）'!AL54</f>
        <v>0</v>
      </c>
      <c r="AM54" s="1514" t="str">
        <f>IF('別紙様式2-3（６月以降分）'!AM54="","",'別紙様式2-3（６月以降分）'!AM54)</f>
        <v/>
      </c>
      <c r="AN54" s="1333" t="str">
        <f>IF('別紙様式2-3（６月以降分）'!AN54="","",'別紙様式2-3（６月以降分）'!AN54)</f>
        <v/>
      </c>
      <c r="AO54" s="1331" t="str">
        <f>IF('別紙様式2-3（６月以降分）'!AO54="","",'別紙様式2-3（６月以降分）'!AO54)</f>
        <v/>
      </c>
      <c r="AP54" s="1333" t="str">
        <f>IF('別紙様式2-3（６月以降分）'!AP54="","",'別紙様式2-3（６月以降分）'!AP54)</f>
        <v/>
      </c>
      <c r="AQ54" s="1481" t="str">
        <f>IF('別紙様式2-3（６月以降分）'!AQ54="","",'別紙様式2-3（６月以降分）'!AQ54)</f>
        <v/>
      </c>
      <c r="AR54" s="1484" t="str">
        <f>IF('別紙様式2-3（６月以降分）'!AR54="","",'別紙様式2-3（６月以降分）'!AR54)</f>
        <v/>
      </c>
      <c r="AS54" s="570" t="str">
        <f t="shared" ref="AS54" si="63">IF(AU56="","",IF(U56&lt;U54,"！加算の要件上は問題ありませんが、令和６年度当初の新加算の加算率と比較して、移行後の加算率が下がる計画になっています。",""))</f>
        <v/>
      </c>
      <c r="AT54" s="577"/>
      <c r="AU54" s="1301"/>
      <c r="AV54" s="555" t="str">
        <f>IF('別紙様式2-2（４・５月分）'!N44="","",'別紙様式2-2（４・５月分）'!N44)</f>
        <v/>
      </c>
      <c r="AW54" s="1305" t="str">
        <f>IF(SUM('別紙様式2-2（４・５月分）'!O44:O46)=0,"",SUM('別紙様式2-2（４・５月分）'!O44:O46))</f>
        <v/>
      </c>
      <c r="AX54" s="1473" t="str">
        <f>IFERROR(VLOOKUP(K54,【参考】数式用!$AH$2:$AI$34,2,FALSE),"")</f>
        <v/>
      </c>
      <c r="AY54" s="493"/>
      <c r="BD54" s="340"/>
      <c r="BE54" s="1303" t="str">
        <f>G54</f>
        <v/>
      </c>
      <c r="BF54" s="1303"/>
      <c r="BG54" s="1303"/>
    </row>
    <row r="55" spans="1:59" ht="15" customHeight="1">
      <c r="A55" s="1267"/>
      <c r="B55" s="1235"/>
      <c r="C55" s="1236"/>
      <c r="D55" s="1236"/>
      <c r="E55" s="1236"/>
      <c r="F55" s="1237"/>
      <c r="G55" s="1252"/>
      <c r="H55" s="1252"/>
      <c r="I55" s="1252"/>
      <c r="J55" s="1415"/>
      <c r="K55" s="1252"/>
      <c r="L55" s="1421"/>
      <c r="M55" s="1371" t="str">
        <f>IF('別紙様式2-2（４・５月分）'!P45="","",'別紙様式2-2（４・５月分）'!P45)</f>
        <v/>
      </c>
      <c r="N55" s="1392"/>
      <c r="O55" s="1398"/>
      <c r="P55" s="1399"/>
      <c r="Q55" s="1400"/>
      <c r="R55" s="1532"/>
      <c r="S55" s="1404"/>
      <c r="T55" s="1528"/>
      <c r="U55" s="1530"/>
      <c r="V55" s="1410"/>
      <c r="W55" s="1526"/>
      <c r="X55" s="1350"/>
      <c r="Y55" s="1526"/>
      <c r="Z55" s="1350"/>
      <c r="AA55" s="1526"/>
      <c r="AB55" s="1350"/>
      <c r="AC55" s="1526"/>
      <c r="AD55" s="1350"/>
      <c r="AE55" s="1350"/>
      <c r="AF55" s="1350"/>
      <c r="AG55" s="1352"/>
      <c r="AH55" s="1518"/>
      <c r="AI55" s="1520"/>
      <c r="AJ55" s="1522"/>
      <c r="AK55" s="1524"/>
      <c r="AL55" s="1513"/>
      <c r="AM55" s="1515"/>
      <c r="AN55" s="1334"/>
      <c r="AO55" s="1516"/>
      <c r="AP55" s="1334"/>
      <c r="AQ55" s="1482"/>
      <c r="AR55" s="1485"/>
      <c r="AS55" s="1483" t="str">
        <f t="shared" ref="AS55" si="64">IF(AU56="","",IF(OR(AA56="",AA56&lt;&gt;7,AC56="",AC56&lt;&gt;3),"！算定期間の終わりが令和７年３月になっていません。年度内の廃止予定等がなければ、算定対象月を令和７年３月にしてください。",""))</f>
        <v/>
      </c>
      <c r="AT55" s="577"/>
      <c r="AU55" s="1303"/>
      <c r="AV55" s="1304" t="str">
        <f>IF('別紙様式2-2（４・５月分）'!N45="","",'別紙様式2-2（４・５月分）'!N45)</f>
        <v/>
      </c>
      <c r="AW55" s="1305"/>
      <c r="AX55" s="1474"/>
      <c r="AY55" s="430"/>
      <c r="BD55" s="340"/>
      <c r="BE55" s="1303" t="str">
        <f>G54</f>
        <v/>
      </c>
      <c r="BF55" s="1303"/>
      <c r="BG55" s="1303"/>
    </row>
    <row r="56" spans="1:59" ht="15" customHeight="1">
      <c r="A56" s="1295"/>
      <c r="B56" s="1235"/>
      <c r="C56" s="1236"/>
      <c r="D56" s="1236"/>
      <c r="E56" s="1236"/>
      <c r="F56" s="1237"/>
      <c r="G56" s="1252"/>
      <c r="H56" s="1252"/>
      <c r="I56" s="1252"/>
      <c r="J56" s="1415"/>
      <c r="K56" s="1252"/>
      <c r="L56" s="1421"/>
      <c r="M56" s="1372"/>
      <c r="N56" s="1393"/>
      <c r="O56" s="1373" t="s">
        <v>2025</v>
      </c>
      <c r="P56" s="1425" t="str">
        <f>IFERROR(VLOOKUP('別紙様式2-2（４・５月分）'!AQ44,【参考】数式用!$AR$5:$AT$22,3,FALSE),"")</f>
        <v/>
      </c>
      <c r="Q56" s="1377" t="s">
        <v>2036</v>
      </c>
      <c r="R56" s="1508" t="str">
        <f>IFERROR(VLOOKUP(K54,【参考】数式用!$A$5:$AB$37,MATCH(P56,【参考】数式用!$B$4:$AB$4,0)+1,0),"")</f>
        <v/>
      </c>
      <c r="S56" s="1381" t="s">
        <v>2109</v>
      </c>
      <c r="T56" s="1510"/>
      <c r="U56" s="1506" t="str">
        <f>IFERROR(VLOOKUP(K54,【参考】数式用!$A$5:$AB$37,MATCH(T56,【参考】数式用!$B$4:$AB$4,0)+1,0),"")</f>
        <v/>
      </c>
      <c r="V56" s="1387" t="s">
        <v>15</v>
      </c>
      <c r="W56" s="1504"/>
      <c r="X56" s="1363" t="s">
        <v>10</v>
      </c>
      <c r="Y56" s="1504"/>
      <c r="Z56" s="1363" t="s">
        <v>38</v>
      </c>
      <c r="AA56" s="1504"/>
      <c r="AB56" s="1363" t="s">
        <v>10</v>
      </c>
      <c r="AC56" s="1504"/>
      <c r="AD56" s="1363" t="s">
        <v>2020</v>
      </c>
      <c r="AE56" s="1363" t="s">
        <v>20</v>
      </c>
      <c r="AF56" s="1363" t="str">
        <f>IF(W56&gt;=1,(AA56*12+AC56)-(W56*12+Y56)+1,"")</f>
        <v/>
      </c>
      <c r="AG56" s="1359" t="s">
        <v>33</v>
      </c>
      <c r="AH56" s="1365" t="str">
        <f t="shared" ref="AH56" si="65">IFERROR(ROUNDDOWN(ROUND(L54*U56,0),0)*AF56,"")</f>
        <v/>
      </c>
      <c r="AI56" s="1498" t="str">
        <f t="shared" ref="AI56" si="66">IFERROR(ROUNDDOWN(ROUND((L54*(U56-AW54)),0),0)*AF56,"")</f>
        <v/>
      </c>
      <c r="AJ56" s="1369" t="str">
        <f>IFERROR(ROUNDDOWN(ROUNDDOWN(ROUND(L54*VLOOKUP(K54,【参考】数式用!$A$5:$AB$27,MATCH("新加算Ⅳ",【参考】数式用!$B$4:$AB$4,0)+1,0),0),0)*AF56*0.5,0),"")</f>
        <v/>
      </c>
      <c r="AK56" s="1500"/>
      <c r="AL56" s="1502" t="str">
        <f>IFERROR(IF('別紙様式2-2（４・５月分）'!P56="ベア加算","", IF(OR(T56="新加算Ⅰ",T56="新加算Ⅱ",T56="新加算Ⅲ",T56="新加算Ⅳ"),ROUNDDOWN(ROUND(L54*VLOOKUP(K54,【参考】数式用!$A$5:$I$27,MATCH("ベア加算",【参考】数式用!$B$4:$I$4,0)+1,0),0),0)*AF56,"")),"")</f>
        <v/>
      </c>
      <c r="AM56" s="1494"/>
      <c r="AN56" s="1475"/>
      <c r="AO56" s="1496"/>
      <c r="AP56" s="1475"/>
      <c r="AQ56" s="1477"/>
      <c r="AR56" s="1479"/>
      <c r="AS56" s="1483"/>
      <c r="AT56" s="451"/>
      <c r="AU56" s="1303" t="str">
        <f>IF(AND(AA54&lt;&gt;7,AC54&lt;&gt;3),"V列に色付け","")</f>
        <v/>
      </c>
      <c r="AV56" s="1304"/>
      <c r="AW56" s="1305"/>
      <c r="AX56" s="574"/>
      <c r="AY56" s="1222" t="str">
        <f>IF(AL56&lt;&gt;"",IF(AM56="○","入力済","未入力"),"")</f>
        <v/>
      </c>
      <c r="AZ56" s="1222"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2" t="str">
        <f>IF(OR(T56="新加算Ⅴ（７）",T56="新加算Ⅴ（９）",T56="新加算Ⅴ（10）",T56="新加算Ⅴ（12）",T56="新加算Ⅴ（13）",T56="新加算Ⅴ（14）"),IF(OR(AO56="○",AO56="令和６年度中に満たす"),"入力済","未入力"),"")</f>
        <v/>
      </c>
      <c r="BB56" s="1222" t="str">
        <f>IF(OR(T56="新加算Ⅰ",T56="新加算Ⅱ",T56="新加算Ⅲ",T56="新加算Ⅴ（１）",T56="新加算Ⅴ（３）",T56="新加算Ⅴ（８）"),IF(OR(AP56="○",AP56="令和６年度中に満たす"),"入力済","未入力"),"")</f>
        <v/>
      </c>
      <c r="BC56" s="1472" t="str">
        <f t="shared" ref="BC56" si="67">IF(OR(T56="新加算Ⅰ",T56="新加算Ⅱ",T56="新加算Ⅴ（１）",T56="新加算Ⅴ（２）",T56="新加算Ⅴ（３）",T56="新加算Ⅴ（４）",T56="新加算Ⅴ（５）",T56="新加算Ⅴ（６）",T56="新加算Ⅴ（７）",T56="新加算Ⅴ（９）",T56="新加算Ⅴ（10）",T56="新加算Ⅴ（12）"),IF(AQ56&lt;&gt;"",1,""),"")</f>
        <v/>
      </c>
      <c r="BD56" s="1303" t="str">
        <f>IF(OR(T56="新加算Ⅰ",T56="新加算Ⅴ（１）",T56="新加算Ⅴ（２）",T56="新加算Ⅴ（５）",T56="新加算Ⅴ（７）",T56="新加算Ⅴ（10）"),IF(AR56="","未入力","入力済"),"")</f>
        <v/>
      </c>
      <c r="BE56" s="1303" t="str">
        <f>G54</f>
        <v/>
      </c>
      <c r="BF56" s="1303"/>
      <c r="BG56" s="1303"/>
    </row>
    <row r="57" spans="1:59" ht="30" customHeight="1" thickBot="1">
      <c r="A57" s="1268"/>
      <c r="B57" s="1411"/>
      <c r="C57" s="1412"/>
      <c r="D57" s="1412"/>
      <c r="E57" s="1412"/>
      <c r="F57" s="1413"/>
      <c r="G57" s="1253"/>
      <c r="H57" s="1253"/>
      <c r="I57" s="1253"/>
      <c r="J57" s="1416"/>
      <c r="K57" s="1253"/>
      <c r="L57" s="1422"/>
      <c r="M57" s="553" t="str">
        <f>IF('別紙様式2-2（４・５月分）'!P46="","",'別紙様式2-2（４・５月分）'!P46)</f>
        <v/>
      </c>
      <c r="N57" s="1394"/>
      <c r="O57" s="1374"/>
      <c r="P57" s="1426"/>
      <c r="Q57" s="1378"/>
      <c r="R57" s="1509"/>
      <c r="S57" s="1382"/>
      <c r="T57" s="1511"/>
      <c r="U57" s="1507"/>
      <c r="V57" s="1388"/>
      <c r="W57" s="1505"/>
      <c r="X57" s="1364"/>
      <c r="Y57" s="1505"/>
      <c r="Z57" s="1364"/>
      <c r="AA57" s="1505"/>
      <c r="AB57" s="1364"/>
      <c r="AC57" s="1505"/>
      <c r="AD57" s="1364"/>
      <c r="AE57" s="1364"/>
      <c r="AF57" s="1364"/>
      <c r="AG57" s="1360"/>
      <c r="AH57" s="1366"/>
      <c r="AI57" s="1499"/>
      <c r="AJ57" s="1370"/>
      <c r="AK57" s="1501"/>
      <c r="AL57" s="1503"/>
      <c r="AM57" s="1495"/>
      <c r="AN57" s="1476"/>
      <c r="AO57" s="1497"/>
      <c r="AP57" s="1476"/>
      <c r="AQ57" s="1478"/>
      <c r="AR57" s="1480"/>
      <c r="AS57" s="575"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1"/>
      <c r="AU57" s="1303"/>
      <c r="AV57" s="555" t="str">
        <f>IF('別紙様式2-2（４・５月分）'!N46="","",'別紙様式2-2（４・５月分）'!N46)</f>
        <v/>
      </c>
      <c r="AW57" s="1305"/>
      <c r="AX57" s="576"/>
      <c r="AY57" s="1222" t="str">
        <f>IF(OR(T57="新加算Ⅰ",T57="新加算Ⅱ",T57="新加算Ⅲ",T57="新加算Ⅳ",T57="新加算Ⅴ（１）",T57="新加算Ⅴ（２）",T57="新加算Ⅴ（３）",T57="新加算ⅠⅤ（４）",T57="新加算Ⅴ（５）",T57="新加算Ⅴ（６）",T57="新加算Ⅴ（８）",T57="新加算Ⅴ（11）"),IF(AI57="○","","未入力"),"")</f>
        <v/>
      </c>
      <c r="AZ57" s="1222" t="str">
        <f>IF(OR(U57="新加算Ⅰ",U57="新加算Ⅱ",U57="新加算Ⅲ",U57="新加算Ⅳ",U57="新加算Ⅴ（１）",U57="新加算Ⅴ（２）",U57="新加算Ⅴ（３）",U57="新加算ⅠⅤ（４）",U57="新加算Ⅴ（５）",U57="新加算Ⅴ（６）",U57="新加算Ⅴ（８）",U57="新加算Ⅴ（11）"),IF(AJ57="○","","未入力"),"")</f>
        <v/>
      </c>
      <c r="BA57" s="1222" t="str">
        <f>IF(OR(U57="新加算Ⅴ（７）",U57="新加算Ⅴ（９）",U57="新加算Ⅴ（10）",U57="新加算Ⅴ（12）",U57="新加算Ⅴ（13）",U57="新加算Ⅴ（14）"),IF(AK57="○","","未入力"),"")</f>
        <v/>
      </c>
      <c r="BB57" s="1222" t="str">
        <f>IF(OR(U57="新加算Ⅰ",U57="新加算Ⅱ",U57="新加算Ⅲ",U57="新加算Ⅴ（１）",U57="新加算Ⅴ（３）",U57="新加算Ⅴ（８）"),IF(AL57="○","","未入力"),"")</f>
        <v/>
      </c>
      <c r="BC57" s="1472"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03" t="str">
        <f>IF(AND(T57&lt;&gt;"（参考）令和７年度の移行予定",OR(U57="新加算Ⅰ",U57="新加算Ⅴ（１）",U57="新加算Ⅴ（２）",U57="新加算Ⅴ（５）",U57="新加算Ⅴ（７）",U57="新加算Ⅴ（10）")),IF(AN57="","未入力",IF(AN57="いずれも取得していない","要件を満たさない","")),"")</f>
        <v/>
      </c>
      <c r="BE57" s="1303" t="str">
        <f>G54</f>
        <v/>
      </c>
      <c r="BF57" s="1303"/>
      <c r="BG57" s="1303"/>
    </row>
    <row r="58" spans="1:59" ht="30" customHeight="1">
      <c r="A58" s="1293">
        <v>12</v>
      </c>
      <c r="B58" s="1235" t="str">
        <f>IF(基本情報入力シート!C65="","",基本情報入力シート!C65)</f>
        <v/>
      </c>
      <c r="C58" s="1236"/>
      <c r="D58" s="1236"/>
      <c r="E58" s="1236"/>
      <c r="F58" s="1237"/>
      <c r="G58" s="1252" t="str">
        <f>IF(基本情報入力シート!M65="","",基本情報入力シート!M65)</f>
        <v/>
      </c>
      <c r="H58" s="1252" t="str">
        <f>IF(基本情報入力シート!R65="","",基本情報入力シート!R65)</f>
        <v/>
      </c>
      <c r="I58" s="1252" t="str">
        <f>IF(基本情報入力シート!W65="","",基本情報入力シート!W65)</f>
        <v/>
      </c>
      <c r="J58" s="1415" t="str">
        <f>IF(基本情報入力シート!X65="","",基本情報入力シート!X65)</f>
        <v/>
      </c>
      <c r="K58" s="1252" t="str">
        <f>IF(基本情報入力シート!Y65="","",基本情報入力シート!Y65)</f>
        <v/>
      </c>
      <c r="L58" s="1421" t="str">
        <f>IF(基本情報入力シート!AB65="","",基本情報入力シート!AB65)</f>
        <v/>
      </c>
      <c r="M58" s="550" t="str">
        <f>IF('別紙様式2-2（４・５月分）'!P47="","",'別紙様式2-2（４・５月分）'!P47)</f>
        <v/>
      </c>
      <c r="N58" s="1391" t="str">
        <f>IF(SUM('別紙様式2-2（４・５月分）'!Q47:Q49)=0,"",SUM('別紙様式2-2（４・５月分）'!Q47:Q49))</f>
        <v/>
      </c>
      <c r="O58" s="1395" t="str">
        <f>IFERROR(VLOOKUP('別紙様式2-2（４・５月分）'!AQ47,【参考】数式用!$AR$5:$AS$22,2,FALSE),"")</f>
        <v/>
      </c>
      <c r="P58" s="1396"/>
      <c r="Q58" s="1397"/>
      <c r="R58" s="1531" t="str">
        <f>IFERROR(VLOOKUP(K58,【参考】数式用!$A$5:$AB$37,MATCH(O58,【参考】数式用!$B$4:$AB$4,0)+1,0),"")</f>
        <v/>
      </c>
      <c r="S58" s="1403" t="s">
        <v>2102</v>
      </c>
      <c r="T58" s="1527" t="str">
        <f>IF('別紙様式2-3（６月以降分）'!T58="","",'別紙様式2-3（６月以降分）'!T58)</f>
        <v/>
      </c>
      <c r="U58" s="1529" t="str">
        <f>IFERROR(VLOOKUP(K58,【参考】数式用!$A$5:$AB$37,MATCH(T58,【参考】数式用!$B$4:$AB$4,0)+1,0),"")</f>
        <v/>
      </c>
      <c r="V58" s="1409" t="s">
        <v>15</v>
      </c>
      <c r="W58" s="1525">
        <f>'別紙様式2-3（６月以降分）'!W58</f>
        <v>6</v>
      </c>
      <c r="X58" s="1349" t="s">
        <v>10</v>
      </c>
      <c r="Y58" s="1525">
        <f>'別紙様式2-3（６月以降分）'!Y58</f>
        <v>6</v>
      </c>
      <c r="Z58" s="1349" t="s">
        <v>38</v>
      </c>
      <c r="AA58" s="1525">
        <f>'別紙様式2-3（６月以降分）'!AA58</f>
        <v>7</v>
      </c>
      <c r="AB58" s="1349" t="s">
        <v>10</v>
      </c>
      <c r="AC58" s="1525">
        <f>'別紙様式2-3（６月以降分）'!AC58</f>
        <v>3</v>
      </c>
      <c r="AD58" s="1349" t="s">
        <v>2020</v>
      </c>
      <c r="AE58" s="1349" t="s">
        <v>20</v>
      </c>
      <c r="AF58" s="1349">
        <f>IF(W58&gt;=1,(AA58*12+AC58)-(W58*12+Y58)+1,"")</f>
        <v>10</v>
      </c>
      <c r="AG58" s="1351" t="s">
        <v>33</v>
      </c>
      <c r="AH58" s="1517" t="str">
        <f>'別紙様式2-3（６月以降分）'!AH58</f>
        <v/>
      </c>
      <c r="AI58" s="1519" t="str">
        <f>'別紙様式2-3（６月以降分）'!AI58</f>
        <v/>
      </c>
      <c r="AJ58" s="1521">
        <f>'別紙様式2-3（６月以降分）'!AJ58</f>
        <v>0</v>
      </c>
      <c r="AK58" s="1523" t="str">
        <f>IF('別紙様式2-3（６月以降分）'!AK58="","",'別紙様式2-3（６月以降分）'!AK58)</f>
        <v/>
      </c>
      <c r="AL58" s="1512">
        <f>'別紙様式2-3（６月以降分）'!AL58</f>
        <v>0</v>
      </c>
      <c r="AM58" s="1514" t="str">
        <f>IF('別紙様式2-3（６月以降分）'!AM58="","",'別紙様式2-3（６月以降分）'!AM58)</f>
        <v/>
      </c>
      <c r="AN58" s="1333" t="str">
        <f>IF('別紙様式2-3（６月以降分）'!AN58="","",'別紙様式2-3（６月以降分）'!AN58)</f>
        <v/>
      </c>
      <c r="AO58" s="1331" t="str">
        <f>IF('別紙様式2-3（６月以降分）'!AO58="","",'別紙様式2-3（６月以降分）'!AO58)</f>
        <v/>
      </c>
      <c r="AP58" s="1333" t="str">
        <f>IF('別紙様式2-3（６月以降分）'!AP58="","",'別紙様式2-3（６月以降分）'!AP58)</f>
        <v/>
      </c>
      <c r="AQ58" s="1481" t="str">
        <f>IF('別紙様式2-3（６月以降分）'!AQ58="","",'別紙様式2-3（６月以降分）'!AQ58)</f>
        <v/>
      </c>
      <c r="AR58" s="1484" t="str">
        <f>IF('別紙様式2-3（６月以降分）'!AR58="","",'別紙様式2-3（６月以降分）'!AR58)</f>
        <v/>
      </c>
      <c r="AS58" s="570" t="str">
        <f t="shared" ref="AS58" si="70">IF(AU60="","",IF(U60&lt;U58,"！加算の要件上は問題ありませんが、令和６年度当初の新加算の加算率と比較して、移行後の加算率が下がる計画になっています。",""))</f>
        <v/>
      </c>
      <c r="AT58" s="577"/>
      <c r="AU58" s="1301"/>
      <c r="AV58" s="555" t="str">
        <f>IF('別紙様式2-2（４・５月分）'!N47="","",'別紙様式2-2（４・５月分）'!N47)</f>
        <v/>
      </c>
      <c r="AW58" s="1305" t="str">
        <f>IF(SUM('別紙様式2-2（４・５月分）'!O47:O49)=0,"",SUM('別紙様式2-2（４・５月分）'!O47:O49))</f>
        <v/>
      </c>
      <c r="AX58" s="1473" t="str">
        <f>IFERROR(VLOOKUP(K58,【参考】数式用!$AH$2:$AI$34,2,FALSE),"")</f>
        <v/>
      </c>
      <c r="AY58" s="493"/>
      <c r="BD58" s="340"/>
      <c r="BE58" s="1303" t="str">
        <f>G58</f>
        <v/>
      </c>
      <c r="BF58" s="1303"/>
      <c r="BG58" s="1303"/>
    </row>
    <row r="59" spans="1:59" ht="15" customHeight="1">
      <c r="A59" s="1267"/>
      <c r="B59" s="1235"/>
      <c r="C59" s="1236"/>
      <c r="D59" s="1236"/>
      <c r="E59" s="1236"/>
      <c r="F59" s="1237"/>
      <c r="G59" s="1252"/>
      <c r="H59" s="1252"/>
      <c r="I59" s="1252"/>
      <c r="J59" s="1415"/>
      <c r="K59" s="1252"/>
      <c r="L59" s="1421"/>
      <c r="M59" s="1371" t="str">
        <f>IF('別紙様式2-2（４・５月分）'!P48="","",'別紙様式2-2（４・５月分）'!P48)</f>
        <v/>
      </c>
      <c r="N59" s="1392"/>
      <c r="O59" s="1398"/>
      <c r="P59" s="1399"/>
      <c r="Q59" s="1400"/>
      <c r="R59" s="1532"/>
      <c r="S59" s="1404"/>
      <c r="T59" s="1528"/>
      <c r="U59" s="1530"/>
      <c r="V59" s="1410"/>
      <c r="W59" s="1526"/>
      <c r="X59" s="1350"/>
      <c r="Y59" s="1526"/>
      <c r="Z59" s="1350"/>
      <c r="AA59" s="1526"/>
      <c r="AB59" s="1350"/>
      <c r="AC59" s="1526"/>
      <c r="AD59" s="1350"/>
      <c r="AE59" s="1350"/>
      <c r="AF59" s="1350"/>
      <c r="AG59" s="1352"/>
      <c r="AH59" s="1518"/>
      <c r="AI59" s="1520"/>
      <c r="AJ59" s="1522"/>
      <c r="AK59" s="1524"/>
      <c r="AL59" s="1513"/>
      <c r="AM59" s="1515"/>
      <c r="AN59" s="1334"/>
      <c r="AO59" s="1516"/>
      <c r="AP59" s="1334"/>
      <c r="AQ59" s="1482"/>
      <c r="AR59" s="1485"/>
      <c r="AS59" s="1483" t="str">
        <f t="shared" ref="AS59" si="71">IF(AU60="","",IF(OR(AA60="",AA60&lt;&gt;7,AC60="",AC60&lt;&gt;3),"！算定期間の終わりが令和７年３月になっていません。年度内の廃止予定等がなければ、算定対象月を令和７年３月にしてください。",""))</f>
        <v/>
      </c>
      <c r="AT59" s="577"/>
      <c r="AU59" s="1303"/>
      <c r="AV59" s="1304" t="str">
        <f>IF('別紙様式2-2（４・５月分）'!N48="","",'別紙様式2-2（４・５月分）'!N48)</f>
        <v/>
      </c>
      <c r="AW59" s="1305"/>
      <c r="AX59" s="1474"/>
      <c r="AY59" s="430"/>
      <c r="BD59" s="340"/>
      <c r="BE59" s="1303" t="str">
        <f>G58</f>
        <v/>
      </c>
      <c r="BF59" s="1303"/>
      <c r="BG59" s="1303"/>
    </row>
    <row r="60" spans="1:59" ht="15" customHeight="1">
      <c r="A60" s="1295"/>
      <c r="B60" s="1235"/>
      <c r="C60" s="1236"/>
      <c r="D60" s="1236"/>
      <c r="E60" s="1236"/>
      <c r="F60" s="1237"/>
      <c r="G60" s="1252"/>
      <c r="H60" s="1252"/>
      <c r="I60" s="1252"/>
      <c r="J60" s="1415"/>
      <c r="K60" s="1252"/>
      <c r="L60" s="1421"/>
      <c r="M60" s="1372"/>
      <c r="N60" s="1393"/>
      <c r="O60" s="1373" t="s">
        <v>2025</v>
      </c>
      <c r="P60" s="1425" t="str">
        <f>IFERROR(VLOOKUP('別紙様式2-2（４・５月分）'!AQ47,【参考】数式用!$AR$5:$AT$22,3,FALSE),"")</f>
        <v/>
      </c>
      <c r="Q60" s="1377" t="s">
        <v>2036</v>
      </c>
      <c r="R60" s="1508" t="str">
        <f>IFERROR(VLOOKUP(K58,【参考】数式用!$A$5:$AB$37,MATCH(P60,【参考】数式用!$B$4:$AB$4,0)+1,0),"")</f>
        <v/>
      </c>
      <c r="S60" s="1381" t="s">
        <v>2109</v>
      </c>
      <c r="T60" s="1510"/>
      <c r="U60" s="1506" t="str">
        <f>IFERROR(VLOOKUP(K58,【参考】数式用!$A$5:$AB$37,MATCH(T60,【参考】数式用!$B$4:$AB$4,0)+1,0),"")</f>
        <v/>
      </c>
      <c r="V60" s="1387" t="s">
        <v>15</v>
      </c>
      <c r="W60" s="1504"/>
      <c r="X60" s="1363" t="s">
        <v>10</v>
      </c>
      <c r="Y60" s="1504"/>
      <c r="Z60" s="1363" t="s">
        <v>38</v>
      </c>
      <c r="AA60" s="1504"/>
      <c r="AB60" s="1363" t="s">
        <v>10</v>
      </c>
      <c r="AC60" s="1504"/>
      <c r="AD60" s="1363" t="s">
        <v>2020</v>
      </c>
      <c r="AE60" s="1363" t="s">
        <v>20</v>
      </c>
      <c r="AF60" s="1363" t="str">
        <f>IF(W60&gt;=1,(AA60*12+AC60)-(W60*12+Y60)+1,"")</f>
        <v/>
      </c>
      <c r="AG60" s="1359" t="s">
        <v>33</v>
      </c>
      <c r="AH60" s="1365" t="str">
        <f t="shared" ref="AH60" si="72">IFERROR(ROUNDDOWN(ROUND(L58*U60,0),0)*AF60,"")</f>
        <v/>
      </c>
      <c r="AI60" s="1498" t="str">
        <f t="shared" ref="AI60" si="73">IFERROR(ROUNDDOWN(ROUND((L58*(U60-AW58)),0),0)*AF60,"")</f>
        <v/>
      </c>
      <c r="AJ60" s="1369" t="str">
        <f>IFERROR(ROUNDDOWN(ROUNDDOWN(ROUND(L58*VLOOKUP(K58,【参考】数式用!$A$5:$AB$27,MATCH("新加算Ⅳ",【参考】数式用!$B$4:$AB$4,0)+1,0),0),0)*AF60*0.5,0),"")</f>
        <v/>
      </c>
      <c r="AK60" s="1500"/>
      <c r="AL60" s="1502" t="str">
        <f>IFERROR(IF('別紙様式2-2（４・５月分）'!P60="ベア加算","", IF(OR(T60="新加算Ⅰ",T60="新加算Ⅱ",T60="新加算Ⅲ",T60="新加算Ⅳ"),ROUNDDOWN(ROUND(L58*VLOOKUP(K58,【参考】数式用!$A$5:$I$27,MATCH("ベア加算",【参考】数式用!$B$4:$I$4,0)+1,0),0),0)*AF60,"")),"")</f>
        <v/>
      </c>
      <c r="AM60" s="1494"/>
      <c r="AN60" s="1475"/>
      <c r="AO60" s="1496"/>
      <c r="AP60" s="1475"/>
      <c r="AQ60" s="1477"/>
      <c r="AR60" s="1479"/>
      <c r="AS60" s="1483"/>
      <c r="AT60" s="451"/>
      <c r="AU60" s="1303" t="str">
        <f>IF(AND(AA58&lt;&gt;7,AC58&lt;&gt;3),"V列に色付け","")</f>
        <v/>
      </c>
      <c r="AV60" s="1304"/>
      <c r="AW60" s="1305"/>
      <c r="AX60" s="574"/>
      <c r="AY60" s="1222" t="str">
        <f>IF(AL60&lt;&gt;"",IF(AM60="○","入力済","未入力"),"")</f>
        <v/>
      </c>
      <c r="AZ60" s="1222"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2" t="str">
        <f>IF(OR(T60="新加算Ⅴ（７）",T60="新加算Ⅴ（９）",T60="新加算Ⅴ（10）",T60="新加算Ⅴ（12）",T60="新加算Ⅴ（13）",T60="新加算Ⅴ（14）"),IF(OR(AO60="○",AO60="令和６年度中に満たす"),"入力済","未入力"),"")</f>
        <v/>
      </c>
      <c r="BB60" s="1222" t="str">
        <f>IF(OR(T60="新加算Ⅰ",T60="新加算Ⅱ",T60="新加算Ⅲ",T60="新加算Ⅴ（１）",T60="新加算Ⅴ（３）",T60="新加算Ⅴ（８）"),IF(OR(AP60="○",AP60="令和６年度中に満たす"),"入力済","未入力"),"")</f>
        <v/>
      </c>
      <c r="BC60" s="1472" t="str">
        <f t="shared" ref="BC60" si="74">IF(OR(T60="新加算Ⅰ",T60="新加算Ⅱ",T60="新加算Ⅴ（１）",T60="新加算Ⅴ（２）",T60="新加算Ⅴ（３）",T60="新加算Ⅴ（４）",T60="新加算Ⅴ（５）",T60="新加算Ⅴ（６）",T60="新加算Ⅴ（７）",T60="新加算Ⅴ（９）",T60="新加算Ⅴ（10）",T60="新加算Ⅴ（12）"),IF(AQ60&lt;&gt;"",1,""),"")</f>
        <v/>
      </c>
      <c r="BD60" s="1303" t="str">
        <f>IF(OR(T60="新加算Ⅰ",T60="新加算Ⅴ（１）",T60="新加算Ⅴ（２）",T60="新加算Ⅴ（５）",T60="新加算Ⅴ（７）",T60="新加算Ⅴ（10）"),IF(AR60="","未入力","入力済"),"")</f>
        <v/>
      </c>
      <c r="BE60" s="1303" t="str">
        <f>G58</f>
        <v/>
      </c>
      <c r="BF60" s="1303"/>
      <c r="BG60" s="1303"/>
    </row>
    <row r="61" spans="1:59" ht="30" customHeight="1" thickBot="1">
      <c r="A61" s="1268"/>
      <c r="B61" s="1411"/>
      <c r="C61" s="1412"/>
      <c r="D61" s="1412"/>
      <c r="E61" s="1412"/>
      <c r="F61" s="1413"/>
      <c r="G61" s="1253"/>
      <c r="H61" s="1253"/>
      <c r="I61" s="1253"/>
      <c r="J61" s="1416"/>
      <c r="K61" s="1253"/>
      <c r="L61" s="1422"/>
      <c r="M61" s="553" t="str">
        <f>IF('別紙様式2-2（４・５月分）'!P49="","",'別紙様式2-2（４・５月分）'!P49)</f>
        <v/>
      </c>
      <c r="N61" s="1394"/>
      <c r="O61" s="1374"/>
      <c r="P61" s="1426"/>
      <c r="Q61" s="1378"/>
      <c r="R61" s="1509"/>
      <c r="S61" s="1382"/>
      <c r="T61" s="1511"/>
      <c r="U61" s="1507"/>
      <c r="V61" s="1388"/>
      <c r="W61" s="1505"/>
      <c r="X61" s="1364"/>
      <c r="Y61" s="1505"/>
      <c r="Z61" s="1364"/>
      <c r="AA61" s="1505"/>
      <c r="AB61" s="1364"/>
      <c r="AC61" s="1505"/>
      <c r="AD61" s="1364"/>
      <c r="AE61" s="1364"/>
      <c r="AF61" s="1364"/>
      <c r="AG61" s="1360"/>
      <c r="AH61" s="1366"/>
      <c r="AI61" s="1499"/>
      <c r="AJ61" s="1370"/>
      <c r="AK61" s="1501"/>
      <c r="AL61" s="1503"/>
      <c r="AM61" s="1495"/>
      <c r="AN61" s="1476"/>
      <c r="AO61" s="1497"/>
      <c r="AP61" s="1476"/>
      <c r="AQ61" s="1478"/>
      <c r="AR61" s="1480"/>
      <c r="AS61" s="575"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1"/>
      <c r="AU61" s="1303"/>
      <c r="AV61" s="555" t="str">
        <f>IF('別紙様式2-2（４・５月分）'!N49="","",'別紙様式2-2（４・５月分）'!N49)</f>
        <v/>
      </c>
      <c r="AW61" s="1305"/>
      <c r="AX61" s="576"/>
      <c r="AY61" s="1222" t="str">
        <f>IF(OR(T61="新加算Ⅰ",T61="新加算Ⅱ",T61="新加算Ⅲ",T61="新加算Ⅳ",T61="新加算Ⅴ（１）",T61="新加算Ⅴ（２）",T61="新加算Ⅴ（３）",T61="新加算ⅠⅤ（４）",T61="新加算Ⅴ（５）",T61="新加算Ⅴ（６）",T61="新加算Ⅴ（８）",T61="新加算Ⅴ（11）"),IF(AI61="○","","未入力"),"")</f>
        <v/>
      </c>
      <c r="AZ61" s="1222" t="str">
        <f>IF(OR(U61="新加算Ⅰ",U61="新加算Ⅱ",U61="新加算Ⅲ",U61="新加算Ⅳ",U61="新加算Ⅴ（１）",U61="新加算Ⅴ（２）",U61="新加算Ⅴ（３）",U61="新加算ⅠⅤ（４）",U61="新加算Ⅴ（５）",U61="新加算Ⅴ（６）",U61="新加算Ⅴ（８）",U61="新加算Ⅴ（11）"),IF(AJ61="○","","未入力"),"")</f>
        <v/>
      </c>
      <c r="BA61" s="1222" t="str">
        <f>IF(OR(U61="新加算Ⅴ（７）",U61="新加算Ⅴ（９）",U61="新加算Ⅴ（10）",U61="新加算Ⅴ（12）",U61="新加算Ⅴ（13）",U61="新加算Ⅴ（14）"),IF(AK61="○","","未入力"),"")</f>
        <v/>
      </c>
      <c r="BB61" s="1222" t="str">
        <f>IF(OR(U61="新加算Ⅰ",U61="新加算Ⅱ",U61="新加算Ⅲ",U61="新加算Ⅴ（１）",U61="新加算Ⅴ（３）",U61="新加算Ⅴ（８）"),IF(AL61="○","","未入力"),"")</f>
        <v/>
      </c>
      <c r="BC61" s="1472"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03" t="str">
        <f>IF(AND(T61&lt;&gt;"（参考）令和７年度の移行予定",OR(U61="新加算Ⅰ",U61="新加算Ⅴ（１）",U61="新加算Ⅴ（２）",U61="新加算Ⅴ（５）",U61="新加算Ⅴ（７）",U61="新加算Ⅴ（10）")),IF(AN61="","未入力",IF(AN61="いずれも取得していない","要件を満たさない","")),"")</f>
        <v/>
      </c>
      <c r="BE61" s="1303" t="str">
        <f>G58</f>
        <v/>
      </c>
      <c r="BF61" s="1303"/>
      <c r="BG61" s="1303"/>
    </row>
    <row r="62" spans="1:59" ht="30" customHeight="1">
      <c r="A62" s="1266">
        <v>13</v>
      </c>
      <c r="B62" s="1232" t="str">
        <f>IF(基本情報入力シート!C66="","",基本情報入力シート!C66)</f>
        <v/>
      </c>
      <c r="C62" s="1233"/>
      <c r="D62" s="1233"/>
      <c r="E62" s="1233"/>
      <c r="F62" s="1234"/>
      <c r="G62" s="1251" t="str">
        <f>IF(基本情報入力シート!M66="","",基本情報入力シート!M66)</f>
        <v/>
      </c>
      <c r="H62" s="1251" t="str">
        <f>IF(基本情報入力シート!R66="","",基本情報入力シート!R66)</f>
        <v/>
      </c>
      <c r="I62" s="1251" t="str">
        <f>IF(基本情報入力シート!W66="","",基本情報入力シート!W66)</f>
        <v/>
      </c>
      <c r="J62" s="1414" t="str">
        <f>IF(基本情報入力シート!X66="","",基本情報入力シート!X66)</f>
        <v/>
      </c>
      <c r="K62" s="1251" t="str">
        <f>IF(基本情報入力シート!Y66="","",基本情報入力シート!Y66)</f>
        <v/>
      </c>
      <c r="L62" s="1427" t="str">
        <f>IF(基本情報入力シート!AB66="","",基本情報入力シート!AB66)</f>
        <v/>
      </c>
      <c r="M62" s="550" t="str">
        <f>IF('別紙様式2-2（４・５月分）'!P50="","",'別紙様式2-2（４・５月分）'!P50)</f>
        <v/>
      </c>
      <c r="N62" s="1391" t="str">
        <f>IF(SUM('別紙様式2-2（４・５月分）'!Q50:Q52)=0,"",SUM('別紙様式2-2（４・５月分）'!Q50:Q52))</f>
        <v/>
      </c>
      <c r="O62" s="1395" t="str">
        <f>IFERROR(VLOOKUP('別紙様式2-2（４・５月分）'!AQ50,【参考】数式用!$AR$5:$AS$22,2,FALSE),"")</f>
        <v/>
      </c>
      <c r="P62" s="1396"/>
      <c r="Q62" s="1397"/>
      <c r="R62" s="1531" t="str">
        <f>IFERROR(VLOOKUP(K62,【参考】数式用!$A$5:$AB$37,MATCH(O62,【参考】数式用!$B$4:$AB$4,0)+1,0),"")</f>
        <v/>
      </c>
      <c r="S62" s="1403" t="s">
        <v>2102</v>
      </c>
      <c r="T62" s="1527" t="str">
        <f>IF('別紙様式2-3（６月以降分）'!T62="","",'別紙様式2-3（６月以降分）'!T62)</f>
        <v/>
      </c>
      <c r="U62" s="1529" t="str">
        <f>IFERROR(VLOOKUP(K62,【参考】数式用!$A$5:$AB$37,MATCH(T62,【参考】数式用!$B$4:$AB$4,0)+1,0),"")</f>
        <v/>
      </c>
      <c r="V62" s="1409" t="s">
        <v>15</v>
      </c>
      <c r="W62" s="1525">
        <f>'別紙様式2-3（６月以降分）'!W62</f>
        <v>6</v>
      </c>
      <c r="X62" s="1349" t="s">
        <v>10</v>
      </c>
      <c r="Y62" s="1525">
        <f>'別紙様式2-3（６月以降分）'!Y62</f>
        <v>6</v>
      </c>
      <c r="Z62" s="1349" t="s">
        <v>38</v>
      </c>
      <c r="AA62" s="1525">
        <f>'別紙様式2-3（６月以降分）'!AA62</f>
        <v>7</v>
      </c>
      <c r="AB62" s="1349" t="s">
        <v>10</v>
      </c>
      <c r="AC62" s="1525">
        <f>'別紙様式2-3（６月以降分）'!AC62</f>
        <v>3</v>
      </c>
      <c r="AD62" s="1349" t="s">
        <v>2020</v>
      </c>
      <c r="AE62" s="1349" t="s">
        <v>20</v>
      </c>
      <c r="AF62" s="1349">
        <f>IF(W62&gt;=1,(AA62*12+AC62)-(W62*12+Y62)+1,"")</f>
        <v>10</v>
      </c>
      <c r="AG62" s="1351" t="s">
        <v>33</v>
      </c>
      <c r="AH62" s="1517" t="str">
        <f>'別紙様式2-3（６月以降分）'!AH62</f>
        <v/>
      </c>
      <c r="AI62" s="1519" t="str">
        <f>'別紙様式2-3（６月以降分）'!AI62</f>
        <v/>
      </c>
      <c r="AJ62" s="1521">
        <f>'別紙様式2-3（６月以降分）'!AJ62</f>
        <v>0</v>
      </c>
      <c r="AK62" s="1523" t="str">
        <f>IF('別紙様式2-3（６月以降分）'!AK62="","",'別紙様式2-3（６月以降分）'!AK62)</f>
        <v/>
      </c>
      <c r="AL62" s="1512">
        <f>'別紙様式2-3（６月以降分）'!AL62</f>
        <v>0</v>
      </c>
      <c r="AM62" s="1514" t="str">
        <f>IF('別紙様式2-3（６月以降分）'!AM62="","",'別紙様式2-3（６月以降分）'!AM62)</f>
        <v/>
      </c>
      <c r="AN62" s="1333" t="str">
        <f>IF('別紙様式2-3（６月以降分）'!AN62="","",'別紙様式2-3（６月以降分）'!AN62)</f>
        <v/>
      </c>
      <c r="AO62" s="1331" t="str">
        <f>IF('別紙様式2-3（６月以降分）'!AO62="","",'別紙様式2-3（６月以降分）'!AO62)</f>
        <v/>
      </c>
      <c r="AP62" s="1333" t="str">
        <f>IF('別紙様式2-3（６月以降分）'!AP62="","",'別紙様式2-3（６月以降分）'!AP62)</f>
        <v/>
      </c>
      <c r="AQ62" s="1481" t="str">
        <f>IF('別紙様式2-3（６月以降分）'!AQ62="","",'別紙様式2-3（６月以降分）'!AQ62)</f>
        <v/>
      </c>
      <c r="AR62" s="1484" t="str">
        <f>IF('別紙様式2-3（６月以降分）'!AR62="","",'別紙様式2-3（６月以降分）'!AR62)</f>
        <v/>
      </c>
      <c r="AS62" s="570" t="str">
        <f t="shared" ref="AS62" si="77">IF(AU64="","",IF(U64&lt;U62,"！加算の要件上は問題ありませんが、令和６年度当初の新加算の加算率と比較して、移行後の加算率が下がる計画になっています。",""))</f>
        <v/>
      </c>
      <c r="AT62" s="577"/>
      <c r="AU62" s="1301"/>
      <c r="AV62" s="555" t="str">
        <f>IF('別紙様式2-2（４・５月分）'!N50="","",'別紙様式2-2（４・５月分）'!N50)</f>
        <v/>
      </c>
      <c r="AW62" s="1305" t="str">
        <f>IF(SUM('別紙様式2-2（４・５月分）'!O50:O52)=0,"",SUM('別紙様式2-2（４・５月分）'!O50:O52))</f>
        <v/>
      </c>
      <c r="AX62" s="1473" t="str">
        <f>IFERROR(VLOOKUP(K62,【参考】数式用!$AH$2:$AI$34,2,FALSE),"")</f>
        <v/>
      </c>
      <c r="AY62" s="493"/>
      <c r="BD62" s="340"/>
      <c r="BE62" s="1303" t="str">
        <f>G62</f>
        <v/>
      </c>
      <c r="BF62" s="1303"/>
      <c r="BG62" s="1303"/>
    </row>
    <row r="63" spans="1:59" ht="15" customHeight="1">
      <c r="A63" s="1267"/>
      <c r="B63" s="1235"/>
      <c r="C63" s="1236"/>
      <c r="D63" s="1236"/>
      <c r="E63" s="1236"/>
      <c r="F63" s="1237"/>
      <c r="G63" s="1252"/>
      <c r="H63" s="1252"/>
      <c r="I63" s="1252"/>
      <c r="J63" s="1415"/>
      <c r="K63" s="1252"/>
      <c r="L63" s="1421"/>
      <c r="M63" s="1371" t="str">
        <f>IF('別紙様式2-2（４・５月分）'!P51="","",'別紙様式2-2（４・５月分）'!P51)</f>
        <v/>
      </c>
      <c r="N63" s="1392"/>
      <c r="O63" s="1398"/>
      <c r="P63" s="1399"/>
      <c r="Q63" s="1400"/>
      <c r="R63" s="1532"/>
      <c r="S63" s="1404"/>
      <c r="T63" s="1528"/>
      <c r="U63" s="1530"/>
      <c r="V63" s="1410"/>
      <c r="W63" s="1526"/>
      <c r="X63" s="1350"/>
      <c r="Y63" s="1526"/>
      <c r="Z63" s="1350"/>
      <c r="AA63" s="1526"/>
      <c r="AB63" s="1350"/>
      <c r="AC63" s="1526"/>
      <c r="AD63" s="1350"/>
      <c r="AE63" s="1350"/>
      <c r="AF63" s="1350"/>
      <c r="AG63" s="1352"/>
      <c r="AH63" s="1518"/>
      <c r="AI63" s="1520"/>
      <c r="AJ63" s="1522"/>
      <c r="AK63" s="1524"/>
      <c r="AL63" s="1513"/>
      <c r="AM63" s="1515"/>
      <c r="AN63" s="1334"/>
      <c r="AO63" s="1516"/>
      <c r="AP63" s="1334"/>
      <c r="AQ63" s="1482"/>
      <c r="AR63" s="1485"/>
      <c r="AS63" s="1483" t="str">
        <f t="shared" ref="AS63" si="78">IF(AU64="","",IF(OR(AA64="",AA64&lt;&gt;7,AC64="",AC64&lt;&gt;3),"！算定期間の終わりが令和７年３月になっていません。年度内の廃止予定等がなければ、算定対象月を令和７年３月にしてください。",""))</f>
        <v/>
      </c>
      <c r="AT63" s="577"/>
      <c r="AU63" s="1303"/>
      <c r="AV63" s="1304" t="str">
        <f>IF('別紙様式2-2（４・５月分）'!N51="","",'別紙様式2-2（４・５月分）'!N51)</f>
        <v/>
      </c>
      <c r="AW63" s="1305"/>
      <c r="AX63" s="1474"/>
      <c r="AY63" s="430"/>
      <c r="BD63" s="340"/>
      <c r="BE63" s="1303" t="str">
        <f>G62</f>
        <v/>
      </c>
      <c r="BF63" s="1303"/>
      <c r="BG63" s="1303"/>
    </row>
    <row r="64" spans="1:59" ht="15" customHeight="1">
      <c r="A64" s="1295"/>
      <c r="B64" s="1235"/>
      <c r="C64" s="1236"/>
      <c r="D64" s="1236"/>
      <c r="E64" s="1236"/>
      <c r="F64" s="1237"/>
      <c r="G64" s="1252"/>
      <c r="H64" s="1252"/>
      <c r="I64" s="1252"/>
      <c r="J64" s="1415"/>
      <c r="K64" s="1252"/>
      <c r="L64" s="1421"/>
      <c r="M64" s="1372"/>
      <c r="N64" s="1393"/>
      <c r="O64" s="1373" t="s">
        <v>2025</v>
      </c>
      <c r="P64" s="1425" t="str">
        <f>IFERROR(VLOOKUP('別紙様式2-2（４・５月分）'!AQ50,【参考】数式用!$AR$5:$AT$22,3,FALSE),"")</f>
        <v/>
      </c>
      <c r="Q64" s="1377" t="s">
        <v>2036</v>
      </c>
      <c r="R64" s="1508" t="str">
        <f>IFERROR(VLOOKUP(K62,【参考】数式用!$A$5:$AB$37,MATCH(P64,【参考】数式用!$B$4:$AB$4,0)+1,0),"")</f>
        <v/>
      </c>
      <c r="S64" s="1381" t="s">
        <v>2109</v>
      </c>
      <c r="T64" s="1510"/>
      <c r="U64" s="1506" t="str">
        <f>IFERROR(VLOOKUP(K62,【参考】数式用!$A$5:$AB$37,MATCH(T64,【参考】数式用!$B$4:$AB$4,0)+1,0),"")</f>
        <v/>
      </c>
      <c r="V64" s="1387" t="s">
        <v>15</v>
      </c>
      <c r="W64" s="1504"/>
      <c r="X64" s="1363" t="s">
        <v>10</v>
      </c>
      <c r="Y64" s="1504"/>
      <c r="Z64" s="1363" t="s">
        <v>38</v>
      </c>
      <c r="AA64" s="1504"/>
      <c r="AB64" s="1363" t="s">
        <v>10</v>
      </c>
      <c r="AC64" s="1504"/>
      <c r="AD64" s="1363" t="s">
        <v>2020</v>
      </c>
      <c r="AE64" s="1363" t="s">
        <v>20</v>
      </c>
      <c r="AF64" s="1363" t="str">
        <f>IF(W64&gt;=1,(AA64*12+AC64)-(W64*12+Y64)+1,"")</f>
        <v/>
      </c>
      <c r="AG64" s="1359" t="s">
        <v>33</v>
      </c>
      <c r="AH64" s="1365" t="str">
        <f t="shared" ref="AH64" si="79">IFERROR(ROUNDDOWN(ROUND(L62*U64,0),0)*AF64,"")</f>
        <v/>
      </c>
      <c r="AI64" s="1498" t="str">
        <f t="shared" ref="AI64" si="80">IFERROR(ROUNDDOWN(ROUND((L62*(U64-AW62)),0),0)*AF64,"")</f>
        <v/>
      </c>
      <c r="AJ64" s="1369" t="str">
        <f>IFERROR(ROUNDDOWN(ROUNDDOWN(ROUND(L62*VLOOKUP(K62,【参考】数式用!$A$5:$AB$27,MATCH("新加算Ⅳ",【参考】数式用!$B$4:$AB$4,0)+1,0),0),0)*AF64*0.5,0),"")</f>
        <v/>
      </c>
      <c r="AK64" s="1500"/>
      <c r="AL64" s="1502" t="str">
        <f>IFERROR(IF('別紙様式2-2（４・５月分）'!P64="ベア加算","", IF(OR(T64="新加算Ⅰ",T64="新加算Ⅱ",T64="新加算Ⅲ",T64="新加算Ⅳ"),ROUNDDOWN(ROUND(L62*VLOOKUP(K62,【参考】数式用!$A$5:$I$27,MATCH("ベア加算",【参考】数式用!$B$4:$I$4,0)+1,0),0),0)*AF64,"")),"")</f>
        <v/>
      </c>
      <c r="AM64" s="1494"/>
      <c r="AN64" s="1475"/>
      <c r="AO64" s="1496"/>
      <c r="AP64" s="1475"/>
      <c r="AQ64" s="1477"/>
      <c r="AR64" s="1479"/>
      <c r="AS64" s="1483"/>
      <c r="AT64" s="451"/>
      <c r="AU64" s="1303" t="str">
        <f>IF(AND(AA62&lt;&gt;7,AC62&lt;&gt;3),"V列に色付け","")</f>
        <v/>
      </c>
      <c r="AV64" s="1304"/>
      <c r="AW64" s="1305"/>
      <c r="AX64" s="574"/>
      <c r="AY64" s="1222" t="str">
        <f>IF(AL64&lt;&gt;"",IF(AM64="○","入力済","未入力"),"")</f>
        <v/>
      </c>
      <c r="AZ64" s="1222"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2" t="str">
        <f>IF(OR(T64="新加算Ⅴ（７）",T64="新加算Ⅴ（９）",T64="新加算Ⅴ（10）",T64="新加算Ⅴ（12）",T64="新加算Ⅴ（13）",T64="新加算Ⅴ（14）"),IF(OR(AO64="○",AO64="令和６年度中に満たす"),"入力済","未入力"),"")</f>
        <v/>
      </c>
      <c r="BB64" s="1222" t="str">
        <f>IF(OR(T64="新加算Ⅰ",T64="新加算Ⅱ",T64="新加算Ⅲ",T64="新加算Ⅴ（１）",T64="新加算Ⅴ（３）",T64="新加算Ⅴ（８）"),IF(OR(AP64="○",AP64="令和６年度中に満たす"),"入力済","未入力"),"")</f>
        <v/>
      </c>
      <c r="BC64" s="1472" t="str">
        <f t="shared" ref="BC64" si="81">IF(OR(T64="新加算Ⅰ",T64="新加算Ⅱ",T64="新加算Ⅴ（１）",T64="新加算Ⅴ（２）",T64="新加算Ⅴ（３）",T64="新加算Ⅴ（４）",T64="新加算Ⅴ（５）",T64="新加算Ⅴ（６）",T64="新加算Ⅴ（７）",T64="新加算Ⅴ（９）",T64="新加算Ⅴ（10）",T64="新加算Ⅴ（12）"),IF(AQ64&lt;&gt;"",1,""),"")</f>
        <v/>
      </c>
      <c r="BD64" s="1303" t="str">
        <f>IF(OR(T64="新加算Ⅰ",T64="新加算Ⅴ（１）",T64="新加算Ⅴ（２）",T64="新加算Ⅴ（５）",T64="新加算Ⅴ（７）",T64="新加算Ⅴ（10）"),IF(AR64="","未入力","入力済"),"")</f>
        <v/>
      </c>
      <c r="BE64" s="1303" t="str">
        <f>G62</f>
        <v/>
      </c>
      <c r="BF64" s="1303"/>
      <c r="BG64" s="1303"/>
    </row>
    <row r="65" spans="1:59" ht="30" customHeight="1" thickBot="1">
      <c r="A65" s="1268"/>
      <c r="B65" s="1411"/>
      <c r="C65" s="1412"/>
      <c r="D65" s="1412"/>
      <c r="E65" s="1412"/>
      <c r="F65" s="1413"/>
      <c r="G65" s="1253"/>
      <c r="H65" s="1253"/>
      <c r="I65" s="1253"/>
      <c r="J65" s="1416"/>
      <c r="K65" s="1253"/>
      <c r="L65" s="1422"/>
      <c r="M65" s="553" t="str">
        <f>IF('別紙様式2-2（４・５月分）'!P52="","",'別紙様式2-2（４・５月分）'!P52)</f>
        <v/>
      </c>
      <c r="N65" s="1394"/>
      <c r="O65" s="1374"/>
      <c r="P65" s="1426"/>
      <c r="Q65" s="1378"/>
      <c r="R65" s="1509"/>
      <c r="S65" s="1382"/>
      <c r="T65" s="1511"/>
      <c r="U65" s="1507"/>
      <c r="V65" s="1388"/>
      <c r="W65" s="1505"/>
      <c r="X65" s="1364"/>
      <c r="Y65" s="1505"/>
      <c r="Z65" s="1364"/>
      <c r="AA65" s="1505"/>
      <c r="AB65" s="1364"/>
      <c r="AC65" s="1505"/>
      <c r="AD65" s="1364"/>
      <c r="AE65" s="1364"/>
      <c r="AF65" s="1364"/>
      <c r="AG65" s="1360"/>
      <c r="AH65" s="1366"/>
      <c r="AI65" s="1499"/>
      <c r="AJ65" s="1370"/>
      <c r="AK65" s="1501"/>
      <c r="AL65" s="1503"/>
      <c r="AM65" s="1495"/>
      <c r="AN65" s="1476"/>
      <c r="AO65" s="1497"/>
      <c r="AP65" s="1476"/>
      <c r="AQ65" s="1478"/>
      <c r="AR65" s="1480"/>
      <c r="AS65" s="575"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1"/>
      <c r="AU65" s="1303"/>
      <c r="AV65" s="555" t="str">
        <f>IF('別紙様式2-2（４・５月分）'!N52="","",'別紙様式2-2（４・５月分）'!N52)</f>
        <v/>
      </c>
      <c r="AW65" s="1305"/>
      <c r="AX65" s="576"/>
      <c r="AY65" s="1222" t="str">
        <f>IF(OR(T65="新加算Ⅰ",T65="新加算Ⅱ",T65="新加算Ⅲ",T65="新加算Ⅳ",T65="新加算Ⅴ（１）",T65="新加算Ⅴ（２）",T65="新加算Ⅴ（３）",T65="新加算ⅠⅤ（４）",T65="新加算Ⅴ（５）",T65="新加算Ⅴ（６）",T65="新加算Ⅴ（８）",T65="新加算Ⅴ（11）"),IF(AI65="○","","未入力"),"")</f>
        <v/>
      </c>
      <c r="AZ65" s="1222" t="str">
        <f>IF(OR(U65="新加算Ⅰ",U65="新加算Ⅱ",U65="新加算Ⅲ",U65="新加算Ⅳ",U65="新加算Ⅴ（１）",U65="新加算Ⅴ（２）",U65="新加算Ⅴ（３）",U65="新加算ⅠⅤ（４）",U65="新加算Ⅴ（５）",U65="新加算Ⅴ（６）",U65="新加算Ⅴ（８）",U65="新加算Ⅴ（11）"),IF(AJ65="○","","未入力"),"")</f>
        <v/>
      </c>
      <c r="BA65" s="1222" t="str">
        <f>IF(OR(U65="新加算Ⅴ（７）",U65="新加算Ⅴ（９）",U65="新加算Ⅴ（10）",U65="新加算Ⅴ（12）",U65="新加算Ⅴ（13）",U65="新加算Ⅴ（14）"),IF(AK65="○","","未入力"),"")</f>
        <v/>
      </c>
      <c r="BB65" s="1222" t="str">
        <f>IF(OR(U65="新加算Ⅰ",U65="新加算Ⅱ",U65="新加算Ⅲ",U65="新加算Ⅴ（１）",U65="新加算Ⅴ（３）",U65="新加算Ⅴ（８）"),IF(AL65="○","","未入力"),"")</f>
        <v/>
      </c>
      <c r="BC65" s="1472"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03" t="str">
        <f>IF(AND(T65&lt;&gt;"（参考）令和７年度の移行予定",OR(U65="新加算Ⅰ",U65="新加算Ⅴ（１）",U65="新加算Ⅴ（２）",U65="新加算Ⅴ（５）",U65="新加算Ⅴ（７）",U65="新加算Ⅴ（10）")),IF(AN65="","未入力",IF(AN65="いずれも取得していない","要件を満たさない","")),"")</f>
        <v/>
      </c>
      <c r="BE65" s="1303" t="str">
        <f>G62</f>
        <v/>
      </c>
      <c r="BF65" s="1303"/>
      <c r="BG65" s="1303"/>
    </row>
    <row r="66" spans="1:59" ht="30" customHeight="1">
      <c r="A66" s="1293">
        <v>14</v>
      </c>
      <c r="B66" s="1235" t="str">
        <f>IF(基本情報入力シート!C67="","",基本情報入力シート!C67)</f>
        <v/>
      </c>
      <c r="C66" s="1236"/>
      <c r="D66" s="1236"/>
      <c r="E66" s="1236"/>
      <c r="F66" s="1237"/>
      <c r="G66" s="1252" t="str">
        <f>IF(基本情報入力シート!M67="","",基本情報入力シート!M67)</f>
        <v/>
      </c>
      <c r="H66" s="1252" t="str">
        <f>IF(基本情報入力シート!R67="","",基本情報入力シート!R67)</f>
        <v/>
      </c>
      <c r="I66" s="1252" t="str">
        <f>IF(基本情報入力シート!W67="","",基本情報入力シート!W67)</f>
        <v/>
      </c>
      <c r="J66" s="1415" t="str">
        <f>IF(基本情報入力シート!X67="","",基本情報入力シート!X67)</f>
        <v/>
      </c>
      <c r="K66" s="1252" t="str">
        <f>IF(基本情報入力シート!Y67="","",基本情報入力シート!Y67)</f>
        <v/>
      </c>
      <c r="L66" s="1421" t="str">
        <f>IF(基本情報入力シート!AB67="","",基本情報入力シート!AB67)</f>
        <v/>
      </c>
      <c r="M66" s="550" t="str">
        <f>IF('別紙様式2-2（４・５月分）'!P53="","",'別紙様式2-2（４・５月分）'!P53)</f>
        <v/>
      </c>
      <c r="N66" s="1391" t="str">
        <f>IF(SUM('別紙様式2-2（４・５月分）'!Q53:Q55)=0,"",SUM('別紙様式2-2（４・５月分）'!Q53:Q55))</f>
        <v/>
      </c>
      <c r="O66" s="1395" t="str">
        <f>IFERROR(VLOOKUP('別紙様式2-2（４・５月分）'!AQ53,【参考】数式用!$AR$5:$AS$22,2,FALSE),"")</f>
        <v/>
      </c>
      <c r="P66" s="1396"/>
      <c r="Q66" s="1397"/>
      <c r="R66" s="1531" t="str">
        <f>IFERROR(VLOOKUP(K66,【参考】数式用!$A$5:$AB$37,MATCH(O66,【参考】数式用!$B$4:$AB$4,0)+1,0),"")</f>
        <v/>
      </c>
      <c r="S66" s="1403" t="s">
        <v>2102</v>
      </c>
      <c r="T66" s="1527" t="str">
        <f>IF('別紙様式2-3（６月以降分）'!T66="","",'別紙様式2-3（６月以降分）'!T66)</f>
        <v/>
      </c>
      <c r="U66" s="1529" t="str">
        <f>IFERROR(VLOOKUP(K66,【参考】数式用!$A$5:$AB$37,MATCH(T66,【参考】数式用!$B$4:$AB$4,0)+1,0),"")</f>
        <v/>
      </c>
      <c r="V66" s="1409" t="s">
        <v>15</v>
      </c>
      <c r="W66" s="1525">
        <f>'別紙様式2-3（６月以降分）'!W66</f>
        <v>6</v>
      </c>
      <c r="X66" s="1349" t="s">
        <v>10</v>
      </c>
      <c r="Y66" s="1525">
        <f>'別紙様式2-3（６月以降分）'!Y66</f>
        <v>6</v>
      </c>
      <c r="Z66" s="1349" t="s">
        <v>38</v>
      </c>
      <c r="AA66" s="1525">
        <f>'別紙様式2-3（６月以降分）'!AA66</f>
        <v>7</v>
      </c>
      <c r="AB66" s="1349" t="s">
        <v>10</v>
      </c>
      <c r="AC66" s="1525">
        <f>'別紙様式2-3（６月以降分）'!AC66</f>
        <v>3</v>
      </c>
      <c r="AD66" s="1349" t="s">
        <v>2020</v>
      </c>
      <c r="AE66" s="1349" t="s">
        <v>20</v>
      </c>
      <c r="AF66" s="1349">
        <f>IF(W66&gt;=1,(AA66*12+AC66)-(W66*12+Y66)+1,"")</f>
        <v>10</v>
      </c>
      <c r="AG66" s="1351" t="s">
        <v>33</v>
      </c>
      <c r="AH66" s="1517" t="str">
        <f>'別紙様式2-3（６月以降分）'!AH66</f>
        <v/>
      </c>
      <c r="AI66" s="1519" t="str">
        <f>'別紙様式2-3（６月以降分）'!AI66</f>
        <v/>
      </c>
      <c r="AJ66" s="1521">
        <f>'別紙様式2-3（６月以降分）'!AJ66</f>
        <v>0</v>
      </c>
      <c r="AK66" s="1523" t="str">
        <f>IF('別紙様式2-3（６月以降分）'!AK66="","",'別紙様式2-3（６月以降分）'!AK66)</f>
        <v/>
      </c>
      <c r="AL66" s="1512">
        <f>'別紙様式2-3（６月以降分）'!AL66</f>
        <v>0</v>
      </c>
      <c r="AM66" s="1514" t="str">
        <f>IF('別紙様式2-3（６月以降分）'!AM66="","",'別紙様式2-3（６月以降分）'!AM66)</f>
        <v/>
      </c>
      <c r="AN66" s="1333" t="str">
        <f>IF('別紙様式2-3（６月以降分）'!AN66="","",'別紙様式2-3（６月以降分）'!AN66)</f>
        <v/>
      </c>
      <c r="AO66" s="1331" t="str">
        <f>IF('別紙様式2-3（６月以降分）'!AO66="","",'別紙様式2-3（６月以降分）'!AO66)</f>
        <v/>
      </c>
      <c r="AP66" s="1333" t="str">
        <f>IF('別紙様式2-3（６月以降分）'!AP66="","",'別紙様式2-3（６月以降分）'!AP66)</f>
        <v/>
      </c>
      <c r="AQ66" s="1481" t="str">
        <f>IF('別紙様式2-3（６月以降分）'!AQ66="","",'別紙様式2-3（６月以降分）'!AQ66)</f>
        <v/>
      </c>
      <c r="AR66" s="1484" t="str">
        <f>IF('別紙様式2-3（６月以降分）'!AR66="","",'別紙様式2-3（６月以降分）'!AR66)</f>
        <v/>
      </c>
      <c r="AS66" s="570" t="str">
        <f t="shared" ref="AS66" si="84">IF(AU68="","",IF(U68&lt;U66,"！加算の要件上は問題ありませんが、令和６年度当初の新加算の加算率と比較して、移行後の加算率が下がる計画になっています。",""))</f>
        <v/>
      </c>
      <c r="AT66" s="577"/>
      <c r="AU66" s="1301"/>
      <c r="AV66" s="555" t="str">
        <f>IF('別紙様式2-2（４・５月分）'!N53="","",'別紙様式2-2（４・５月分）'!N53)</f>
        <v/>
      </c>
      <c r="AW66" s="1305" t="str">
        <f>IF(SUM('別紙様式2-2（４・５月分）'!O53:O55)=0,"",SUM('別紙様式2-2（４・５月分）'!O53:O55))</f>
        <v/>
      </c>
      <c r="AX66" s="1473" t="str">
        <f>IFERROR(VLOOKUP(K66,【参考】数式用!$AH$2:$AI$34,2,FALSE),"")</f>
        <v/>
      </c>
      <c r="AY66" s="493"/>
      <c r="BD66" s="340"/>
      <c r="BE66" s="1303" t="str">
        <f>G66</f>
        <v/>
      </c>
      <c r="BF66" s="1303"/>
      <c r="BG66" s="1303"/>
    </row>
    <row r="67" spans="1:59" ht="15" customHeight="1">
      <c r="A67" s="1267"/>
      <c r="B67" s="1235"/>
      <c r="C67" s="1236"/>
      <c r="D67" s="1236"/>
      <c r="E67" s="1236"/>
      <c r="F67" s="1237"/>
      <c r="G67" s="1252"/>
      <c r="H67" s="1252"/>
      <c r="I67" s="1252"/>
      <c r="J67" s="1415"/>
      <c r="K67" s="1252"/>
      <c r="L67" s="1421"/>
      <c r="M67" s="1371" t="str">
        <f>IF('別紙様式2-2（４・５月分）'!P54="","",'別紙様式2-2（４・５月分）'!P54)</f>
        <v/>
      </c>
      <c r="N67" s="1392"/>
      <c r="O67" s="1398"/>
      <c r="P67" s="1399"/>
      <c r="Q67" s="1400"/>
      <c r="R67" s="1532"/>
      <c r="S67" s="1404"/>
      <c r="T67" s="1528"/>
      <c r="U67" s="1530"/>
      <c r="V67" s="1410"/>
      <c r="W67" s="1526"/>
      <c r="X67" s="1350"/>
      <c r="Y67" s="1526"/>
      <c r="Z67" s="1350"/>
      <c r="AA67" s="1526"/>
      <c r="AB67" s="1350"/>
      <c r="AC67" s="1526"/>
      <c r="AD67" s="1350"/>
      <c r="AE67" s="1350"/>
      <c r="AF67" s="1350"/>
      <c r="AG67" s="1352"/>
      <c r="AH67" s="1518"/>
      <c r="AI67" s="1520"/>
      <c r="AJ67" s="1522"/>
      <c r="AK67" s="1524"/>
      <c r="AL67" s="1513"/>
      <c r="AM67" s="1515"/>
      <c r="AN67" s="1334"/>
      <c r="AO67" s="1516"/>
      <c r="AP67" s="1334"/>
      <c r="AQ67" s="1482"/>
      <c r="AR67" s="1485"/>
      <c r="AS67" s="1483" t="str">
        <f t="shared" ref="AS67" si="85">IF(AU68="","",IF(OR(AA68="",AA68&lt;&gt;7,AC68="",AC68&lt;&gt;3),"！算定期間の終わりが令和７年３月になっていません。年度内の廃止予定等がなければ、算定対象月を令和７年３月にしてください。",""))</f>
        <v/>
      </c>
      <c r="AT67" s="577"/>
      <c r="AU67" s="1303"/>
      <c r="AV67" s="1304" t="str">
        <f>IF('別紙様式2-2（４・５月分）'!N54="","",'別紙様式2-2（４・５月分）'!N54)</f>
        <v/>
      </c>
      <c r="AW67" s="1305"/>
      <c r="AX67" s="1474"/>
      <c r="AY67" s="430"/>
      <c r="BD67" s="340"/>
      <c r="BE67" s="1303" t="str">
        <f>G66</f>
        <v/>
      </c>
      <c r="BF67" s="1303"/>
      <c r="BG67" s="1303"/>
    </row>
    <row r="68" spans="1:59" ht="15" customHeight="1">
      <c r="A68" s="1295"/>
      <c r="B68" s="1235"/>
      <c r="C68" s="1236"/>
      <c r="D68" s="1236"/>
      <c r="E68" s="1236"/>
      <c r="F68" s="1237"/>
      <c r="G68" s="1252"/>
      <c r="H68" s="1252"/>
      <c r="I68" s="1252"/>
      <c r="J68" s="1415"/>
      <c r="K68" s="1252"/>
      <c r="L68" s="1421"/>
      <c r="M68" s="1372"/>
      <c r="N68" s="1393"/>
      <c r="O68" s="1373" t="s">
        <v>2025</v>
      </c>
      <c r="P68" s="1425" t="str">
        <f>IFERROR(VLOOKUP('別紙様式2-2（４・５月分）'!AQ53,【参考】数式用!$AR$5:$AT$22,3,FALSE),"")</f>
        <v/>
      </c>
      <c r="Q68" s="1377" t="s">
        <v>2036</v>
      </c>
      <c r="R68" s="1508" t="str">
        <f>IFERROR(VLOOKUP(K66,【参考】数式用!$A$5:$AB$37,MATCH(P68,【参考】数式用!$B$4:$AB$4,0)+1,0),"")</f>
        <v/>
      </c>
      <c r="S68" s="1381" t="s">
        <v>2109</v>
      </c>
      <c r="T68" s="1510"/>
      <c r="U68" s="1506" t="str">
        <f>IFERROR(VLOOKUP(K66,【参考】数式用!$A$5:$AB$37,MATCH(T68,【参考】数式用!$B$4:$AB$4,0)+1,0),"")</f>
        <v/>
      </c>
      <c r="V68" s="1387" t="s">
        <v>15</v>
      </c>
      <c r="W68" s="1504"/>
      <c r="X68" s="1363" t="s">
        <v>10</v>
      </c>
      <c r="Y68" s="1504"/>
      <c r="Z68" s="1363" t="s">
        <v>38</v>
      </c>
      <c r="AA68" s="1504"/>
      <c r="AB68" s="1363" t="s">
        <v>10</v>
      </c>
      <c r="AC68" s="1504"/>
      <c r="AD68" s="1363" t="s">
        <v>2020</v>
      </c>
      <c r="AE68" s="1363" t="s">
        <v>20</v>
      </c>
      <c r="AF68" s="1363" t="str">
        <f>IF(W68&gt;=1,(AA68*12+AC68)-(W68*12+Y68)+1,"")</f>
        <v/>
      </c>
      <c r="AG68" s="1359" t="s">
        <v>33</v>
      </c>
      <c r="AH68" s="1365" t="str">
        <f t="shared" ref="AH68" si="86">IFERROR(ROUNDDOWN(ROUND(L66*U68,0),0)*AF68,"")</f>
        <v/>
      </c>
      <c r="AI68" s="1498" t="str">
        <f t="shared" ref="AI68" si="87">IFERROR(ROUNDDOWN(ROUND((L66*(U68-AW66)),0),0)*AF68,"")</f>
        <v/>
      </c>
      <c r="AJ68" s="1369" t="str">
        <f>IFERROR(ROUNDDOWN(ROUNDDOWN(ROUND(L66*VLOOKUP(K66,【参考】数式用!$A$5:$AB$27,MATCH("新加算Ⅳ",【参考】数式用!$B$4:$AB$4,0)+1,0),0),0)*AF68*0.5,0),"")</f>
        <v/>
      </c>
      <c r="AK68" s="1500"/>
      <c r="AL68" s="1502" t="str">
        <f>IFERROR(IF('別紙様式2-2（４・５月分）'!P68="ベア加算","", IF(OR(T68="新加算Ⅰ",T68="新加算Ⅱ",T68="新加算Ⅲ",T68="新加算Ⅳ"),ROUNDDOWN(ROUND(L66*VLOOKUP(K66,【参考】数式用!$A$5:$I$27,MATCH("ベア加算",【参考】数式用!$B$4:$I$4,0)+1,0),0),0)*AF68,"")),"")</f>
        <v/>
      </c>
      <c r="AM68" s="1494"/>
      <c r="AN68" s="1475"/>
      <c r="AO68" s="1496"/>
      <c r="AP68" s="1475"/>
      <c r="AQ68" s="1477"/>
      <c r="AR68" s="1479"/>
      <c r="AS68" s="1483"/>
      <c r="AT68" s="451"/>
      <c r="AU68" s="1303" t="str">
        <f>IF(AND(AA66&lt;&gt;7,AC66&lt;&gt;3),"V列に色付け","")</f>
        <v/>
      </c>
      <c r="AV68" s="1304"/>
      <c r="AW68" s="1305"/>
      <c r="AX68" s="574"/>
      <c r="AY68" s="1222" t="str">
        <f>IF(AL68&lt;&gt;"",IF(AM68="○","入力済","未入力"),"")</f>
        <v/>
      </c>
      <c r="AZ68" s="1222"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2" t="str">
        <f>IF(OR(T68="新加算Ⅴ（７）",T68="新加算Ⅴ（９）",T68="新加算Ⅴ（10）",T68="新加算Ⅴ（12）",T68="新加算Ⅴ（13）",T68="新加算Ⅴ（14）"),IF(OR(AO68="○",AO68="令和６年度中に満たす"),"入力済","未入力"),"")</f>
        <v/>
      </c>
      <c r="BB68" s="1222" t="str">
        <f>IF(OR(T68="新加算Ⅰ",T68="新加算Ⅱ",T68="新加算Ⅲ",T68="新加算Ⅴ（１）",T68="新加算Ⅴ（３）",T68="新加算Ⅴ（８）"),IF(OR(AP68="○",AP68="令和６年度中に満たす"),"入力済","未入力"),"")</f>
        <v/>
      </c>
      <c r="BC68" s="1472" t="str">
        <f t="shared" ref="BC68" si="88">IF(OR(T68="新加算Ⅰ",T68="新加算Ⅱ",T68="新加算Ⅴ（１）",T68="新加算Ⅴ（２）",T68="新加算Ⅴ（３）",T68="新加算Ⅴ（４）",T68="新加算Ⅴ（５）",T68="新加算Ⅴ（６）",T68="新加算Ⅴ（７）",T68="新加算Ⅴ（９）",T68="新加算Ⅴ（10）",T68="新加算Ⅴ（12）"),IF(AQ68&lt;&gt;"",1,""),"")</f>
        <v/>
      </c>
      <c r="BD68" s="1303" t="str">
        <f>IF(OR(T68="新加算Ⅰ",T68="新加算Ⅴ（１）",T68="新加算Ⅴ（２）",T68="新加算Ⅴ（５）",T68="新加算Ⅴ（７）",T68="新加算Ⅴ（10）"),IF(AR68="","未入力","入力済"),"")</f>
        <v/>
      </c>
      <c r="BE68" s="1303" t="str">
        <f>G66</f>
        <v/>
      </c>
      <c r="BF68" s="1303"/>
      <c r="BG68" s="1303"/>
    </row>
    <row r="69" spans="1:59" ht="30" customHeight="1" thickBot="1">
      <c r="A69" s="1268"/>
      <c r="B69" s="1411"/>
      <c r="C69" s="1412"/>
      <c r="D69" s="1412"/>
      <c r="E69" s="1412"/>
      <c r="F69" s="1413"/>
      <c r="G69" s="1253"/>
      <c r="H69" s="1253"/>
      <c r="I69" s="1253"/>
      <c r="J69" s="1416"/>
      <c r="K69" s="1253"/>
      <c r="L69" s="1422"/>
      <c r="M69" s="553" t="str">
        <f>IF('別紙様式2-2（４・５月分）'!P55="","",'別紙様式2-2（４・５月分）'!P55)</f>
        <v/>
      </c>
      <c r="N69" s="1394"/>
      <c r="O69" s="1374"/>
      <c r="P69" s="1426"/>
      <c r="Q69" s="1378"/>
      <c r="R69" s="1509"/>
      <c r="S69" s="1382"/>
      <c r="T69" s="1511"/>
      <c r="U69" s="1507"/>
      <c r="V69" s="1388"/>
      <c r="W69" s="1505"/>
      <c r="X69" s="1364"/>
      <c r="Y69" s="1505"/>
      <c r="Z69" s="1364"/>
      <c r="AA69" s="1505"/>
      <c r="AB69" s="1364"/>
      <c r="AC69" s="1505"/>
      <c r="AD69" s="1364"/>
      <c r="AE69" s="1364"/>
      <c r="AF69" s="1364"/>
      <c r="AG69" s="1360"/>
      <c r="AH69" s="1366"/>
      <c r="AI69" s="1499"/>
      <c r="AJ69" s="1370"/>
      <c r="AK69" s="1501"/>
      <c r="AL69" s="1503"/>
      <c r="AM69" s="1495"/>
      <c r="AN69" s="1476"/>
      <c r="AO69" s="1497"/>
      <c r="AP69" s="1476"/>
      <c r="AQ69" s="1478"/>
      <c r="AR69" s="1480"/>
      <c r="AS69" s="575"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1"/>
      <c r="AU69" s="1303"/>
      <c r="AV69" s="555" t="str">
        <f>IF('別紙様式2-2（４・５月分）'!N55="","",'別紙様式2-2（４・５月分）'!N55)</f>
        <v/>
      </c>
      <c r="AW69" s="1305"/>
      <c r="AX69" s="576"/>
      <c r="AY69" s="1222" t="str">
        <f>IF(OR(T69="新加算Ⅰ",T69="新加算Ⅱ",T69="新加算Ⅲ",T69="新加算Ⅳ",T69="新加算Ⅴ（１）",T69="新加算Ⅴ（２）",T69="新加算Ⅴ（３）",T69="新加算ⅠⅤ（４）",T69="新加算Ⅴ（５）",T69="新加算Ⅴ（６）",T69="新加算Ⅴ（８）",T69="新加算Ⅴ（11）"),IF(AI69="○","","未入力"),"")</f>
        <v/>
      </c>
      <c r="AZ69" s="1222" t="str">
        <f>IF(OR(U69="新加算Ⅰ",U69="新加算Ⅱ",U69="新加算Ⅲ",U69="新加算Ⅳ",U69="新加算Ⅴ（１）",U69="新加算Ⅴ（２）",U69="新加算Ⅴ（３）",U69="新加算ⅠⅤ（４）",U69="新加算Ⅴ（５）",U69="新加算Ⅴ（６）",U69="新加算Ⅴ（８）",U69="新加算Ⅴ（11）"),IF(AJ69="○","","未入力"),"")</f>
        <v/>
      </c>
      <c r="BA69" s="1222" t="str">
        <f>IF(OR(U69="新加算Ⅴ（７）",U69="新加算Ⅴ（９）",U69="新加算Ⅴ（10）",U69="新加算Ⅴ（12）",U69="新加算Ⅴ（13）",U69="新加算Ⅴ（14）"),IF(AK69="○","","未入力"),"")</f>
        <v/>
      </c>
      <c r="BB69" s="1222" t="str">
        <f>IF(OR(U69="新加算Ⅰ",U69="新加算Ⅱ",U69="新加算Ⅲ",U69="新加算Ⅴ（１）",U69="新加算Ⅴ（３）",U69="新加算Ⅴ（８）"),IF(AL69="○","","未入力"),"")</f>
        <v/>
      </c>
      <c r="BC69" s="1472"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03" t="str">
        <f>IF(AND(T69&lt;&gt;"（参考）令和７年度の移行予定",OR(U69="新加算Ⅰ",U69="新加算Ⅴ（１）",U69="新加算Ⅴ（２）",U69="新加算Ⅴ（５）",U69="新加算Ⅴ（７）",U69="新加算Ⅴ（10）")),IF(AN69="","未入力",IF(AN69="いずれも取得していない","要件を満たさない","")),"")</f>
        <v/>
      </c>
      <c r="BE69" s="1303" t="str">
        <f>G66</f>
        <v/>
      </c>
      <c r="BF69" s="1303"/>
      <c r="BG69" s="1303"/>
    </row>
    <row r="70" spans="1:59" ht="30" customHeight="1">
      <c r="A70" s="1266">
        <v>15</v>
      </c>
      <c r="B70" s="1232" t="str">
        <f>IF(基本情報入力シート!C68="","",基本情報入力シート!C68)</f>
        <v/>
      </c>
      <c r="C70" s="1233"/>
      <c r="D70" s="1233"/>
      <c r="E70" s="1233"/>
      <c r="F70" s="1234"/>
      <c r="G70" s="1251" t="str">
        <f>IF(基本情報入力シート!M68="","",基本情報入力シート!M68)</f>
        <v/>
      </c>
      <c r="H70" s="1251" t="str">
        <f>IF(基本情報入力シート!R68="","",基本情報入力シート!R68)</f>
        <v/>
      </c>
      <c r="I70" s="1251" t="str">
        <f>IF(基本情報入力シート!W68="","",基本情報入力シート!W68)</f>
        <v/>
      </c>
      <c r="J70" s="1414" t="str">
        <f>IF(基本情報入力シート!X68="","",基本情報入力シート!X68)</f>
        <v/>
      </c>
      <c r="K70" s="1251" t="str">
        <f>IF(基本情報入力シート!Y68="","",基本情報入力シート!Y68)</f>
        <v/>
      </c>
      <c r="L70" s="1427" t="str">
        <f>IF(基本情報入力シート!AB68="","",基本情報入力シート!AB68)</f>
        <v/>
      </c>
      <c r="M70" s="550" t="str">
        <f>IF('別紙様式2-2（４・５月分）'!P56="","",'別紙様式2-2（４・５月分）'!P56)</f>
        <v/>
      </c>
      <c r="N70" s="1391" t="str">
        <f>IF(SUM('別紙様式2-2（４・５月分）'!Q56:Q58)=0,"",SUM('別紙様式2-2（４・５月分）'!Q56:Q58))</f>
        <v/>
      </c>
      <c r="O70" s="1395" t="str">
        <f>IFERROR(VLOOKUP('別紙様式2-2（４・５月分）'!AQ56,【参考】数式用!$AR$5:$AS$22,2,FALSE),"")</f>
        <v/>
      </c>
      <c r="P70" s="1396"/>
      <c r="Q70" s="1397"/>
      <c r="R70" s="1531" t="str">
        <f>IFERROR(VLOOKUP(K70,【参考】数式用!$A$5:$AB$37,MATCH(O70,【参考】数式用!$B$4:$AB$4,0)+1,0),"")</f>
        <v/>
      </c>
      <c r="S70" s="1403" t="s">
        <v>2102</v>
      </c>
      <c r="T70" s="1527" t="str">
        <f>IF('別紙様式2-3（６月以降分）'!T70="","",'別紙様式2-3（６月以降分）'!T70)</f>
        <v/>
      </c>
      <c r="U70" s="1529" t="str">
        <f>IFERROR(VLOOKUP(K70,【参考】数式用!$A$5:$AB$37,MATCH(T70,【参考】数式用!$B$4:$AB$4,0)+1,0),"")</f>
        <v/>
      </c>
      <c r="V70" s="1409" t="s">
        <v>15</v>
      </c>
      <c r="W70" s="1525">
        <f>'別紙様式2-3（６月以降分）'!W70</f>
        <v>6</v>
      </c>
      <c r="X70" s="1349" t="s">
        <v>10</v>
      </c>
      <c r="Y70" s="1525">
        <f>'別紙様式2-3（６月以降分）'!Y70</f>
        <v>6</v>
      </c>
      <c r="Z70" s="1349" t="s">
        <v>38</v>
      </c>
      <c r="AA70" s="1525">
        <f>'別紙様式2-3（６月以降分）'!AA70</f>
        <v>7</v>
      </c>
      <c r="AB70" s="1349" t="s">
        <v>10</v>
      </c>
      <c r="AC70" s="1525">
        <f>'別紙様式2-3（６月以降分）'!AC70</f>
        <v>3</v>
      </c>
      <c r="AD70" s="1349" t="s">
        <v>2020</v>
      </c>
      <c r="AE70" s="1349" t="s">
        <v>20</v>
      </c>
      <c r="AF70" s="1349">
        <f>IF(W70&gt;=1,(AA70*12+AC70)-(W70*12+Y70)+1,"")</f>
        <v>10</v>
      </c>
      <c r="AG70" s="1351" t="s">
        <v>33</v>
      </c>
      <c r="AH70" s="1517" t="str">
        <f>'別紙様式2-3（６月以降分）'!AH70</f>
        <v/>
      </c>
      <c r="AI70" s="1519" t="str">
        <f>'別紙様式2-3（６月以降分）'!AI70</f>
        <v/>
      </c>
      <c r="AJ70" s="1521">
        <f>'別紙様式2-3（６月以降分）'!AJ70</f>
        <v>0</v>
      </c>
      <c r="AK70" s="1523" t="str">
        <f>IF('別紙様式2-3（６月以降分）'!AK70="","",'別紙様式2-3（６月以降分）'!AK70)</f>
        <v/>
      </c>
      <c r="AL70" s="1512">
        <f>'別紙様式2-3（６月以降分）'!AL70</f>
        <v>0</v>
      </c>
      <c r="AM70" s="1514" t="str">
        <f>IF('別紙様式2-3（６月以降分）'!AM70="","",'別紙様式2-3（６月以降分）'!AM70)</f>
        <v/>
      </c>
      <c r="AN70" s="1333" t="str">
        <f>IF('別紙様式2-3（６月以降分）'!AN70="","",'別紙様式2-3（６月以降分）'!AN70)</f>
        <v/>
      </c>
      <c r="AO70" s="1331" t="str">
        <f>IF('別紙様式2-3（６月以降分）'!AO70="","",'別紙様式2-3（６月以降分）'!AO70)</f>
        <v/>
      </c>
      <c r="AP70" s="1333" t="str">
        <f>IF('別紙様式2-3（６月以降分）'!AP70="","",'別紙様式2-3（６月以降分）'!AP70)</f>
        <v/>
      </c>
      <c r="AQ70" s="1481" t="str">
        <f>IF('別紙様式2-3（６月以降分）'!AQ70="","",'別紙様式2-3（６月以降分）'!AQ70)</f>
        <v/>
      </c>
      <c r="AR70" s="1484" t="str">
        <f>IF('別紙様式2-3（６月以降分）'!AR70="","",'別紙様式2-3（６月以降分）'!AR70)</f>
        <v/>
      </c>
      <c r="AS70" s="570" t="str">
        <f t="shared" ref="AS70" si="91">IF(AU72="","",IF(U72&lt;U70,"！加算の要件上は問題ありませんが、令和６年度当初の新加算の加算率と比較して、移行後の加算率が下がる計画になっています。",""))</f>
        <v/>
      </c>
      <c r="AT70" s="577"/>
      <c r="AU70" s="1301"/>
      <c r="AV70" s="555" t="str">
        <f>IF('別紙様式2-2（４・５月分）'!N56="","",'別紙様式2-2（４・５月分）'!N56)</f>
        <v/>
      </c>
      <c r="AW70" s="1305" t="str">
        <f>IF(SUM('別紙様式2-2（４・５月分）'!O56:O58)=0,"",SUM('別紙様式2-2（４・５月分）'!O56:O58))</f>
        <v/>
      </c>
      <c r="AX70" s="1473" t="str">
        <f>IFERROR(VLOOKUP(K70,【参考】数式用!$AH$2:$AI$34,2,FALSE),"")</f>
        <v/>
      </c>
      <c r="AY70" s="493"/>
      <c r="BD70" s="340"/>
      <c r="BE70" s="1303" t="str">
        <f>G70</f>
        <v/>
      </c>
      <c r="BF70" s="1303"/>
      <c r="BG70" s="1303"/>
    </row>
    <row r="71" spans="1:59" ht="15" customHeight="1">
      <c r="A71" s="1267"/>
      <c r="B71" s="1235"/>
      <c r="C71" s="1236"/>
      <c r="D71" s="1236"/>
      <c r="E71" s="1236"/>
      <c r="F71" s="1237"/>
      <c r="G71" s="1252"/>
      <c r="H71" s="1252"/>
      <c r="I71" s="1252"/>
      <c r="J71" s="1415"/>
      <c r="K71" s="1252"/>
      <c r="L71" s="1421"/>
      <c r="M71" s="1371" t="str">
        <f>IF('別紙様式2-2（４・５月分）'!P57="","",'別紙様式2-2（４・５月分）'!P57)</f>
        <v/>
      </c>
      <c r="N71" s="1392"/>
      <c r="O71" s="1398"/>
      <c r="P71" s="1399"/>
      <c r="Q71" s="1400"/>
      <c r="R71" s="1532"/>
      <c r="S71" s="1404"/>
      <c r="T71" s="1528"/>
      <c r="U71" s="1530"/>
      <c r="V71" s="1410"/>
      <c r="W71" s="1526"/>
      <c r="X71" s="1350"/>
      <c r="Y71" s="1526"/>
      <c r="Z71" s="1350"/>
      <c r="AA71" s="1526"/>
      <c r="AB71" s="1350"/>
      <c r="AC71" s="1526"/>
      <c r="AD71" s="1350"/>
      <c r="AE71" s="1350"/>
      <c r="AF71" s="1350"/>
      <c r="AG71" s="1352"/>
      <c r="AH71" s="1518"/>
      <c r="AI71" s="1520"/>
      <c r="AJ71" s="1522"/>
      <c r="AK71" s="1524"/>
      <c r="AL71" s="1513"/>
      <c r="AM71" s="1515"/>
      <c r="AN71" s="1334"/>
      <c r="AO71" s="1516"/>
      <c r="AP71" s="1334"/>
      <c r="AQ71" s="1482"/>
      <c r="AR71" s="1485"/>
      <c r="AS71" s="1483" t="str">
        <f t="shared" ref="AS71" si="92">IF(AU72="","",IF(OR(AA72="",AA72&lt;&gt;7,AC72="",AC72&lt;&gt;3),"！算定期間の終わりが令和７年３月になっていません。年度内の廃止予定等がなければ、算定対象月を令和７年３月にしてください。",""))</f>
        <v/>
      </c>
      <c r="AT71" s="577"/>
      <c r="AU71" s="1303"/>
      <c r="AV71" s="1304" t="str">
        <f>IF('別紙様式2-2（４・５月分）'!N57="","",'別紙様式2-2（４・５月分）'!N57)</f>
        <v/>
      </c>
      <c r="AW71" s="1305"/>
      <c r="AX71" s="1474"/>
      <c r="AY71" s="430"/>
      <c r="BD71" s="340"/>
      <c r="BE71" s="1303" t="str">
        <f>G70</f>
        <v/>
      </c>
      <c r="BF71" s="1303"/>
      <c r="BG71" s="1303"/>
    </row>
    <row r="72" spans="1:59" ht="15" customHeight="1">
      <c r="A72" s="1295"/>
      <c r="B72" s="1235"/>
      <c r="C72" s="1236"/>
      <c r="D72" s="1236"/>
      <c r="E72" s="1236"/>
      <c r="F72" s="1237"/>
      <c r="G72" s="1252"/>
      <c r="H72" s="1252"/>
      <c r="I72" s="1252"/>
      <c r="J72" s="1415"/>
      <c r="K72" s="1252"/>
      <c r="L72" s="1421"/>
      <c r="M72" s="1372"/>
      <c r="N72" s="1393"/>
      <c r="O72" s="1373" t="s">
        <v>2025</v>
      </c>
      <c r="P72" s="1425" t="str">
        <f>IFERROR(VLOOKUP('別紙様式2-2（４・５月分）'!AQ56,【参考】数式用!$AR$5:$AT$22,3,FALSE),"")</f>
        <v/>
      </c>
      <c r="Q72" s="1377" t="s">
        <v>2036</v>
      </c>
      <c r="R72" s="1508" t="str">
        <f>IFERROR(VLOOKUP(K70,【参考】数式用!$A$5:$AB$37,MATCH(P72,【参考】数式用!$B$4:$AB$4,0)+1,0),"")</f>
        <v/>
      </c>
      <c r="S72" s="1381" t="s">
        <v>2109</v>
      </c>
      <c r="T72" s="1510"/>
      <c r="U72" s="1506" t="str">
        <f>IFERROR(VLOOKUP(K70,【参考】数式用!$A$5:$AB$37,MATCH(T72,【参考】数式用!$B$4:$AB$4,0)+1,0),"")</f>
        <v/>
      </c>
      <c r="V72" s="1387" t="s">
        <v>15</v>
      </c>
      <c r="W72" s="1504"/>
      <c r="X72" s="1363" t="s">
        <v>10</v>
      </c>
      <c r="Y72" s="1504"/>
      <c r="Z72" s="1363" t="s">
        <v>38</v>
      </c>
      <c r="AA72" s="1504"/>
      <c r="AB72" s="1363" t="s">
        <v>10</v>
      </c>
      <c r="AC72" s="1504"/>
      <c r="AD72" s="1363" t="s">
        <v>2020</v>
      </c>
      <c r="AE72" s="1363" t="s">
        <v>20</v>
      </c>
      <c r="AF72" s="1363" t="str">
        <f>IF(W72&gt;=1,(AA72*12+AC72)-(W72*12+Y72)+1,"")</f>
        <v/>
      </c>
      <c r="AG72" s="1359" t="s">
        <v>33</v>
      </c>
      <c r="AH72" s="1365" t="str">
        <f t="shared" ref="AH72" si="93">IFERROR(ROUNDDOWN(ROUND(L70*U72,0),0)*AF72,"")</f>
        <v/>
      </c>
      <c r="AI72" s="1498" t="str">
        <f t="shared" ref="AI72" si="94">IFERROR(ROUNDDOWN(ROUND((L70*(U72-AW70)),0),0)*AF72,"")</f>
        <v/>
      </c>
      <c r="AJ72" s="1369" t="str">
        <f>IFERROR(ROUNDDOWN(ROUNDDOWN(ROUND(L70*VLOOKUP(K70,【参考】数式用!$A$5:$AB$27,MATCH("新加算Ⅳ",【参考】数式用!$B$4:$AB$4,0)+1,0),0),0)*AF72*0.5,0),"")</f>
        <v/>
      </c>
      <c r="AK72" s="1500"/>
      <c r="AL72" s="1502" t="str">
        <f>IFERROR(IF('別紙様式2-2（４・５月分）'!P72="ベア加算","", IF(OR(T72="新加算Ⅰ",T72="新加算Ⅱ",T72="新加算Ⅲ",T72="新加算Ⅳ"),ROUNDDOWN(ROUND(L70*VLOOKUP(K70,【参考】数式用!$A$5:$I$27,MATCH("ベア加算",【参考】数式用!$B$4:$I$4,0)+1,0),0),0)*AF72,"")),"")</f>
        <v/>
      </c>
      <c r="AM72" s="1494"/>
      <c r="AN72" s="1475"/>
      <c r="AO72" s="1496"/>
      <c r="AP72" s="1475"/>
      <c r="AQ72" s="1477"/>
      <c r="AR72" s="1479"/>
      <c r="AS72" s="1483"/>
      <c r="AT72" s="451"/>
      <c r="AU72" s="1303" t="str">
        <f>IF(AND(AA70&lt;&gt;7,AC70&lt;&gt;3),"V列に色付け","")</f>
        <v/>
      </c>
      <c r="AV72" s="1304"/>
      <c r="AW72" s="1305"/>
      <c r="AX72" s="574"/>
      <c r="AY72" s="1222" t="str">
        <f>IF(AL72&lt;&gt;"",IF(AM72="○","入力済","未入力"),"")</f>
        <v/>
      </c>
      <c r="AZ72" s="1222"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2" t="str">
        <f>IF(OR(T72="新加算Ⅴ（７）",T72="新加算Ⅴ（９）",T72="新加算Ⅴ（10）",T72="新加算Ⅴ（12）",T72="新加算Ⅴ（13）",T72="新加算Ⅴ（14）"),IF(OR(AO72="○",AO72="令和６年度中に満たす"),"入力済","未入力"),"")</f>
        <v/>
      </c>
      <c r="BB72" s="1222" t="str">
        <f>IF(OR(T72="新加算Ⅰ",T72="新加算Ⅱ",T72="新加算Ⅲ",T72="新加算Ⅴ（１）",T72="新加算Ⅴ（３）",T72="新加算Ⅴ（８）"),IF(OR(AP72="○",AP72="令和６年度中に満たす"),"入力済","未入力"),"")</f>
        <v/>
      </c>
      <c r="BC72" s="1472" t="str">
        <f t="shared" ref="BC72" si="95">IF(OR(T72="新加算Ⅰ",T72="新加算Ⅱ",T72="新加算Ⅴ（１）",T72="新加算Ⅴ（２）",T72="新加算Ⅴ（３）",T72="新加算Ⅴ（４）",T72="新加算Ⅴ（５）",T72="新加算Ⅴ（６）",T72="新加算Ⅴ（７）",T72="新加算Ⅴ（９）",T72="新加算Ⅴ（10）",T72="新加算Ⅴ（12）"),IF(AQ72&lt;&gt;"",1,""),"")</f>
        <v/>
      </c>
      <c r="BD72" s="1303" t="str">
        <f>IF(OR(T72="新加算Ⅰ",T72="新加算Ⅴ（１）",T72="新加算Ⅴ（２）",T72="新加算Ⅴ（５）",T72="新加算Ⅴ（７）",T72="新加算Ⅴ（10）"),IF(AR72="","未入力","入力済"),"")</f>
        <v/>
      </c>
      <c r="BE72" s="1303" t="str">
        <f>G70</f>
        <v/>
      </c>
      <c r="BF72" s="1303"/>
      <c r="BG72" s="1303"/>
    </row>
    <row r="73" spans="1:59" ht="30" customHeight="1" thickBot="1">
      <c r="A73" s="1268"/>
      <c r="B73" s="1411"/>
      <c r="C73" s="1412"/>
      <c r="D73" s="1412"/>
      <c r="E73" s="1412"/>
      <c r="F73" s="1413"/>
      <c r="G73" s="1253"/>
      <c r="H73" s="1253"/>
      <c r="I73" s="1253"/>
      <c r="J73" s="1416"/>
      <c r="K73" s="1253"/>
      <c r="L73" s="1422"/>
      <c r="M73" s="553" t="str">
        <f>IF('別紙様式2-2（４・５月分）'!P58="","",'別紙様式2-2（４・５月分）'!P58)</f>
        <v/>
      </c>
      <c r="N73" s="1394"/>
      <c r="O73" s="1374"/>
      <c r="P73" s="1426"/>
      <c r="Q73" s="1378"/>
      <c r="R73" s="1509"/>
      <c r="S73" s="1382"/>
      <c r="T73" s="1511"/>
      <c r="U73" s="1507"/>
      <c r="V73" s="1388"/>
      <c r="W73" s="1505"/>
      <c r="X73" s="1364"/>
      <c r="Y73" s="1505"/>
      <c r="Z73" s="1364"/>
      <c r="AA73" s="1505"/>
      <c r="AB73" s="1364"/>
      <c r="AC73" s="1505"/>
      <c r="AD73" s="1364"/>
      <c r="AE73" s="1364"/>
      <c r="AF73" s="1364"/>
      <c r="AG73" s="1360"/>
      <c r="AH73" s="1366"/>
      <c r="AI73" s="1499"/>
      <c r="AJ73" s="1370"/>
      <c r="AK73" s="1501"/>
      <c r="AL73" s="1503"/>
      <c r="AM73" s="1495"/>
      <c r="AN73" s="1476"/>
      <c r="AO73" s="1497"/>
      <c r="AP73" s="1476"/>
      <c r="AQ73" s="1478"/>
      <c r="AR73" s="1480"/>
      <c r="AS73" s="575"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1"/>
      <c r="AU73" s="1303"/>
      <c r="AV73" s="555" t="str">
        <f>IF('別紙様式2-2（４・５月分）'!N58="","",'別紙様式2-2（４・５月分）'!N58)</f>
        <v/>
      </c>
      <c r="AW73" s="1305"/>
      <c r="AX73" s="576"/>
      <c r="AY73" s="1222" t="str">
        <f>IF(OR(T73="新加算Ⅰ",T73="新加算Ⅱ",T73="新加算Ⅲ",T73="新加算Ⅳ",T73="新加算Ⅴ（１）",T73="新加算Ⅴ（２）",T73="新加算Ⅴ（３）",T73="新加算ⅠⅤ（４）",T73="新加算Ⅴ（５）",T73="新加算Ⅴ（６）",T73="新加算Ⅴ（８）",T73="新加算Ⅴ（11）"),IF(AI73="○","","未入力"),"")</f>
        <v/>
      </c>
      <c r="AZ73" s="1222" t="str">
        <f>IF(OR(U73="新加算Ⅰ",U73="新加算Ⅱ",U73="新加算Ⅲ",U73="新加算Ⅳ",U73="新加算Ⅴ（１）",U73="新加算Ⅴ（２）",U73="新加算Ⅴ（３）",U73="新加算ⅠⅤ（４）",U73="新加算Ⅴ（５）",U73="新加算Ⅴ（６）",U73="新加算Ⅴ（８）",U73="新加算Ⅴ（11）"),IF(AJ73="○","","未入力"),"")</f>
        <v/>
      </c>
      <c r="BA73" s="1222" t="str">
        <f>IF(OR(U73="新加算Ⅴ（７）",U73="新加算Ⅴ（９）",U73="新加算Ⅴ（10）",U73="新加算Ⅴ（12）",U73="新加算Ⅴ（13）",U73="新加算Ⅴ（14）"),IF(AK73="○","","未入力"),"")</f>
        <v/>
      </c>
      <c r="BB73" s="1222" t="str">
        <f>IF(OR(U73="新加算Ⅰ",U73="新加算Ⅱ",U73="新加算Ⅲ",U73="新加算Ⅴ（１）",U73="新加算Ⅴ（３）",U73="新加算Ⅴ（８）"),IF(AL73="○","","未入力"),"")</f>
        <v/>
      </c>
      <c r="BC73" s="1472"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03" t="str">
        <f>IF(AND(T73&lt;&gt;"（参考）令和７年度の移行予定",OR(U73="新加算Ⅰ",U73="新加算Ⅴ（１）",U73="新加算Ⅴ（２）",U73="新加算Ⅴ（５）",U73="新加算Ⅴ（７）",U73="新加算Ⅴ（10）")),IF(AN73="","未入力",IF(AN73="いずれも取得していない","要件を満たさない","")),"")</f>
        <v/>
      </c>
      <c r="BE73" s="1303" t="str">
        <f>G70</f>
        <v/>
      </c>
      <c r="BF73" s="1303"/>
      <c r="BG73" s="1303"/>
    </row>
    <row r="74" spans="1:59" ht="30" customHeight="1">
      <c r="A74" s="1293">
        <v>16</v>
      </c>
      <c r="B74" s="1235" t="str">
        <f>IF(基本情報入力シート!C69="","",基本情報入力シート!C69)</f>
        <v/>
      </c>
      <c r="C74" s="1236"/>
      <c r="D74" s="1236"/>
      <c r="E74" s="1236"/>
      <c r="F74" s="1237"/>
      <c r="G74" s="1252" t="str">
        <f>IF(基本情報入力シート!M69="","",基本情報入力シート!M69)</f>
        <v/>
      </c>
      <c r="H74" s="1252" t="str">
        <f>IF(基本情報入力シート!R69="","",基本情報入力シート!R69)</f>
        <v/>
      </c>
      <c r="I74" s="1252" t="str">
        <f>IF(基本情報入力シート!W69="","",基本情報入力シート!W69)</f>
        <v/>
      </c>
      <c r="J74" s="1415" t="str">
        <f>IF(基本情報入力シート!X69="","",基本情報入力シート!X69)</f>
        <v/>
      </c>
      <c r="K74" s="1252" t="str">
        <f>IF(基本情報入力シート!Y69="","",基本情報入力シート!Y69)</f>
        <v/>
      </c>
      <c r="L74" s="1421" t="str">
        <f>IF(基本情報入力シート!AB69="","",基本情報入力シート!AB69)</f>
        <v/>
      </c>
      <c r="M74" s="550" t="str">
        <f>IF('別紙様式2-2（４・５月分）'!P59="","",'別紙様式2-2（４・５月分）'!P59)</f>
        <v/>
      </c>
      <c r="N74" s="1391" t="str">
        <f>IF(SUM('別紙様式2-2（４・５月分）'!Q59:Q61)=0,"",SUM('別紙様式2-2（４・５月分）'!Q59:Q61))</f>
        <v/>
      </c>
      <c r="O74" s="1395" t="str">
        <f>IFERROR(VLOOKUP('別紙様式2-2（４・５月分）'!AQ59,【参考】数式用!$AR$5:$AS$22,2,FALSE),"")</f>
        <v/>
      </c>
      <c r="P74" s="1396"/>
      <c r="Q74" s="1397"/>
      <c r="R74" s="1531" t="str">
        <f>IFERROR(VLOOKUP(K74,【参考】数式用!$A$5:$AB$37,MATCH(O74,【参考】数式用!$B$4:$AB$4,0)+1,0),"")</f>
        <v/>
      </c>
      <c r="S74" s="1403" t="s">
        <v>2102</v>
      </c>
      <c r="T74" s="1527" t="str">
        <f>IF('別紙様式2-3（６月以降分）'!T74="","",'別紙様式2-3（６月以降分）'!T74)</f>
        <v/>
      </c>
      <c r="U74" s="1529" t="str">
        <f>IFERROR(VLOOKUP(K74,【参考】数式用!$A$5:$AB$37,MATCH(T74,【参考】数式用!$B$4:$AB$4,0)+1,0),"")</f>
        <v/>
      </c>
      <c r="V74" s="1409" t="s">
        <v>15</v>
      </c>
      <c r="W74" s="1525">
        <f>'別紙様式2-3（６月以降分）'!W74</f>
        <v>6</v>
      </c>
      <c r="X74" s="1349" t="s">
        <v>10</v>
      </c>
      <c r="Y74" s="1525">
        <f>'別紙様式2-3（６月以降分）'!Y74</f>
        <v>6</v>
      </c>
      <c r="Z74" s="1349" t="s">
        <v>38</v>
      </c>
      <c r="AA74" s="1525">
        <f>'別紙様式2-3（６月以降分）'!AA74</f>
        <v>7</v>
      </c>
      <c r="AB74" s="1349" t="s">
        <v>10</v>
      </c>
      <c r="AC74" s="1525">
        <f>'別紙様式2-3（６月以降分）'!AC74</f>
        <v>3</v>
      </c>
      <c r="AD74" s="1349" t="s">
        <v>2020</v>
      </c>
      <c r="AE74" s="1349" t="s">
        <v>20</v>
      </c>
      <c r="AF74" s="1349">
        <f>IF(W74&gt;=1,(AA74*12+AC74)-(W74*12+Y74)+1,"")</f>
        <v>10</v>
      </c>
      <c r="AG74" s="1351" t="s">
        <v>33</v>
      </c>
      <c r="AH74" s="1517" t="str">
        <f>'別紙様式2-3（６月以降分）'!AH74</f>
        <v/>
      </c>
      <c r="AI74" s="1519" t="str">
        <f>'別紙様式2-3（６月以降分）'!AI74</f>
        <v/>
      </c>
      <c r="AJ74" s="1521">
        <f>'別紙様式2-3（６月以降分）'!AJ74</f>
        <v>0</v>
      </c>
      <c r="AK74" s="1523" t="str">
        <f>IF('別紙様式2-3（６月以降分）'!AK74="","",'別紙様式2-3（６月以降分）'!AK74)</f>
        <v/>
      </c>
      <c r="AL74" s="1512">
        <f>'別紙様式2-3（６月以降分）'!AL74</f>
        <v>0</v>
      </c>
      <c r="AM74" s="1514" t="str">
        <f>IF('別紙様式2-3（６月以降分）'!AM74="","",'別紙様式2-3（６月以降分）'!AM74)</f>
        <v/>
      </c>
      <c r="AN74" s="1333" t="str">
        <f>IF('別紙様式2-3（６月以降分）'!AN74="","",'別紙様式2-3（６月以降分）'!AN74)</f>
        <v/>
      </c>
      <c r="AO74" s="1331" t="str">
        <f>IF('別紙様式2-3（６月以降分）'!AO74="","",'別紙様式2-3（６月以降分）'!AO74)</f>
        <v/>
      </c>
      <c r="AP74" s="1333" t="str">
        <f>IF('別紙様式2-3（６月以降分）'!AP74="","",'別紙様式2-3（６月以降分）'!AP74)</f>
        <v/>
      </c>
      <c r="AQ74" s="1481" t="str">
        <f>IF('別紙様式2-3（６月以降分）'!AQ74="","",'別紙様式2-3（６月以降分）'!AQ74)</f>
        <v/>
      </c>
      <c r="AR74" s="1484" t="str">
        <f>IF('別紙様式2-3（６月以降分）'!AR74="","",'別紙様式2-3（６月以降分）'!AR74)</f>
        <v/>
      </c>
      <c r="AS74" s="570" t="str">
        <f t="shared" ref="AS74" si="98">IF(AU76="","",IF(U76&lt;U74,"！加算の要件上は問題ありませんが、令和６年度当初の新加算の加算率と比較して、移行後の加算率が下がる計画になっています。",""))</f>
        <v/>
      </c>
      <c r="AT74" s="577"/>
      <c r="AU74" s="1301"/>
      <c r="AV74" s="555" t="str">
        <f>IF('別紙様式2-2（４・５月分）'!N59="","",'別紙様式2-2（４・５月分）'!N59)</f>
        <v/>
      </c>
      <c r="AW74" s="1305" t="str">
        <f>IF(SUM('別紙様式2-2（４・５月分）'!O59:O61)=0,"",SUM('別紙様式2-2（４・５月分）'!O59:O61))</f>
        <v/>
      </c>
      <c r="AX74" s="1473" t="str">
        <f>IFERROR(VLOOKUP(K74,【参考】数式用!$AH$2:$AI$34,2,FALSE),"")</f>
        <v/>
      </c>
      <c r="AY74" s="493"/>
      <c r="BD74" s="340"/>
      <c r="BE74" s="1303" t="str">
        <f>G74</f>
        <v/>
      </c>
      <c r="BF74" s="1303"/>
      <c r="BG74" s="1303"/>
    </row>
    <row r="75" spans="1:59" ht="15" customHeight="1">
      <c r="A75" s="1267"/>
      <c r="B75" s="1235"/>
      <c r="C75" s="1236"/>
      <c r="D75" s="1236"/>
      <c r="E75" s="1236"/>
      <c r="F75" s="1237"/>
      <c r="G75" s="1252"/>
      <c r="H75" s="1252"/>
      <c r="I75" s="1252"/>
      <c r="J75" s="1415"/>
      <c r="K75" s="1252"/>
      <c r="L75" s="1421"/>
      <c r="M75" s="1371" t="str">
        <f>IF('別紙様式2-2（４・５月分）'!P60="","",'別紙様式2-2（４・５月分）'!P60)</f>
        <v/>
      </c>
      <c r="N75" s="1392"/>
      <c r="O75" s="1398"/>
      <c r="P75" s="1399"/>
      <c r="Q75" s="1400"/>
      <c r="R75" s="1532"/>
      <c r="S75" s="1404"/>
      <c r="T75" s="1528"/>
      <c r="U75" s="1530"/>
      <c r="V75" s="1410"/>
      <c r="W75" s="1526"/>
      <c r="X75" s="1350"/>
      <c r="Y75" s="1526"/>
      <c r="Z75" s="1350"/>
      <c r="AA75" s="1526"/>
      <c r="AB75" s="1350"/>
      <c r="AC75" s="1526"/>
      <c r="AD75" s="1350"/>
      <c r="AE75" s="1350"/>
      <c r="AF75" s="1350"/>
      <c r="AG75" s="1352"/>
      <c r="AH75" s="1518"/>
      <c r="AI75" s="1520"/>
      <c r="AJ75" s="1522"/>
      <c r="AK75" s="1524"/>
      <c r="AL75" s="1513"/>
      <c r="AM75" s="1515"/>
      <c r="AN75" s="1334"/>
      <c r="AO75" s="1516"/>
      <c r="AP75" s="1334"/>
      <c r="AQ75" s="1482"/>
      <c r="AR75" s="1485"/>
      <c r="AS75" s="1483" t="str">
        <f t="shared" ref="AS75" si="99">IF(AU76="","",IF(OR(AA76="",AA76&lt;&gt;7,AC76="",AC76&lt;&gt;3),"！算定期間の終わりが令和７年３月になっていません。年度内の廃止予定等がなければ、算定対象月を令和７年３月にしてください。",""))</f>
        <v/>
      </c>
      <c r="AT75" s="577"/>
      <c r="AU75" s="1303"/>
      <c r="AV75" s="1304" t="str">
        <f>IF('別紙様式2-2（４・５月分）'!N60="","",'別紙様式2-2（４・５月分）'!N60)</f>
        <v/>
      </c>
      <c r="AW75" s="1305"/>
      <c r="AX75" s="1474"/>
      <c r="AY75" s="430"/>
      <c r="BD75" s="340"/>
      <c r="BE75" s="1303" t="str">
        <f>G74</f>
        <v/>
      </c>
      <c r="BF75" s="1303"/>
      <c r="BG75" s="1303"/>
    </row>
    <row r="76" spans="1:59" ht="15" customHeight="1">
      <c r="A76" s="1295"/>
      <c r="B76" s="1235"/>
      <c r="C76" s="1236"/>
      <c r="D76" s="1236"/>
      <c r="E76" s="1236"/>
      <c r="F76" s="1237"/>
      <c r="G76" s="1252"/>
      <c r="H76" s="1252"/>
      <c r="I76" s="1252"/>
      <c r="J76" s="1415"/>
      <c r="K76" s="1252"/>
      <c r="L76" s="1421"/>
      <c r="M76" s="1372"/>
      <c r="N76" s="1393"/>
      <c r="O76" s="1373" t="s">
        <v>2025</v>
      </c>
      <c r="P76" s="1425" t="str">
        <f>IFERROR(VLOOKUP('別紙様式2-2（４・５月分）'!AQ59,【参考】数式用!$AR$5:$AT$22,3,FALSE),"")</f>
        <v/>
      </c>
      <c r="Q76" s="1377" t="s">
        <v>2036</v>
      </c>
      <c r="R76" s="1508" t="str">
        <f>IFERROR(VLOOKUP(K74,【参考】数式用!$A$5:$AB$37,MATCH(P76,【参考】数式用!$B$4:$AB$4,0)+1,0),"")</f>
        <v/>
      </c>
      <c r="S76" s="1381" t="s">
        <v>2109</v>
      </c>
      <c r="T76" s="1510"/>
      <c r="U76" s="1506" t="str">
        <f>IFERROR(VLOOKUP(K74,【参考】数式用!$A$5:$AB$37,MATCH(T76,【参考】数式用!$B$4:$AB$4,0)+1,0),"")</f>
        <v/>
      </c>
      <c r="V76" s="1387" t="s">
        <v>15</v>
      </c>
      <c r="W76" s="1504"/>
      <c r="X76" s="1363" t="s">
        <v>10</v>
      </c>
      <c r="Y76" s="1504"/>
      <c r="Z76" s="1363" t="s">
        <v>38</v>
      </c>
      <c r="AA76" s="1504"/>
      <c r="AB76" s="1363" t="s">
        <v>10</v>
      </c>
      <c r="AC76" s="1504"/>
      <c r="AD76" s="1363" t="s">
        <v>2020</v>
      </c>
      <c r="AE76" s="1363" t="s">
        <v>20</v>
      </c>
      <c r="AF76" s="1363" t="str">
        <f>IF(W76&gt;=1,(AA76*12+AC76)-(W76*12+Y76)+1,"")</f>
        <v/>
      </c>
      <c r="AG76" s="1359" t="s">
        <v>33</v>
      </c>
      <c r="AH76" s="1365" t="str">
        <f t="shared" ref="AH76" si="100">IFERROR(ROUNDDOWN(ROUND(L74*U76,0),0)*AF76,"")</f>
        <v/>
      </c>
      <c r="AI76" s="1498" t="str">
        <f t="shared" ref="AI76" si="101">IFERROR(ROUNDDOWN(ROUND((L74*(U76-AW74)),0),0)*AF76,"")</f>
        <v/>
      </c>
      <c r="AJ76" s="1369" t="str">
        <f>IFERROR(ROUNDDOWN(ROUNDDOWN(ROUND(L74*VLOOKUP(K74,【参考】数式用!$A$5:$AB$27,MATCH("新加算Ⅳ",【参考】数式用!$B$4:$AB$4,0)+1,0),0),0)*AF76*0.5,0),"")</f>
        <v/>
      </c>
      <c r="AK76" s="1500"/>
      <c r="AL76" s="1502" t="str">
        <f>IFERROR(IF('別紙様式2-2（４・５月分）'!P76="ベア加算","", IF(OR(T76="新加算Ⅰ",T76="新加算Ⅱ",T76="新加算Ⅲ",T76="新加算Ⅳ"),ROUNDDOWN(ROUND(L74*VLOOKUP(K74,【参考】数式用!$A$5:$I$27,MATCH("ベア加算",【参考】数式用!$B$4:$I$4,0)+1,0),0),0)*AF76,"")),"")</f>
        <v/>
      </c>
      <c r="AM76" s="1494"/>
      <c r="AN76" s="1475"/>
      <c r="AO76" s="1496"/>
      <c r="AP76" s="1475"/>
      <c r="AQ76" s="1477"/>
      <c r="AR76" s="1479"/>
      <c r="AS76" s="1483"/>
      <c r="AT76" s="451"/>
      <c r="AU76" s="1303" t="str">
        <f>IF(AND(AA74&lt;&gt;7,AC74&lt;&gt;3),"V列に色付け","")</f>
        <v/>
      </c>
      <c r="AV76" s="1304"/>
      <c r="AW76" s="1305"/>
      <c r="AX76" s="574"/>
      <c r="AY76" s="1222" t="str">
        <f>IF(AL76&lt;&gt;"",IF(AM76="○","入力済","未入力"),"")</f>
        <v/>
      </c>
      <c r="AZ76" s="1222"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2" t="str">
        <f>IF(OR(T76="新加算Ⅴ（７）",T76="新加算Ⅴ（９）",T76="新加算Ⅴ（10）",T76="新加算Ⅴ（12）",T76="新加算Ⅴ（13）",T76="新加算Ⅴ（14）"),IF(OR(AO76="○",AO76="令和６年度中に満たす"),"入力済","未入力"),"")</f>
        <v/>
      </c>
      <c r="BB76" s="1222" t="str">
        <f>IF(OR(T76="新加算Ⅰ",T76="新加算Ⅱ",T76="新加算Ⅲ",T76="新加算Ⅴ（１）",T76="新加算Ⅴ（３）",T76="新加算Ⅴ（８）"),IF(OR(AP76="○",AP76="令和６年度中に満たす"),"入力済","未入力"),"")</f>
        <v/>
      </c>
      <c r="BC76" s="1472" t="str">
        <f t="shared" ref="BC76" si="102">IF(OR(T76="新加算Ⅰ",T76="新加算Ⅱ",T76="新加算Ⅴ（１）",T76="新加算Ⅴ（２）",T76="新加算Ⅴ（３）",T76="新加算Ⅴ（４）",T76="新加算Ⅴ（５）",T76="新加算Ⅴ（６）",T76="新加算Ⅴ（７）",T76="新加算Ⅴ（９）",T76="新加算Ⅴ（10）",T76="新加算Ⅴ（12）"),IF(AQ76&lt;&gt;"",1,""),"")</f>
        <v/>
      </c>
      <c r="BD76" s="1303" t="str">
        <f>IF(OR(T76="新加算Ⅰ",T76="新加算Ⅴ（１）",T76="新加算Ⅴ（２）",T76="新加算Ⅴ（５）",T76="新加算Ⅴ（７）",T76="新加算Ⅴ（10）"),IF(AR76="","未入力","入力済"),"")</f>
        <v/>
      </c>
      <c r="BE76" s="1303" t="str">
        <f>G74</f>
        <v/>
      </c>
      <c r="BF76" s="1303"/>
      <c r="BG76" s="1303"/>
    </row>
    <row r="77" spans="1:59" ht="30" customHeight="1" thickBot="1">
      <c r="A77" s="1268"/>
      <c r="B77" s="1411"/>
      <c r="C77" s="1412"/>
      <c r="D77" s="1412"/>
      <c r="E77" s="1412"/>
      <c r="F77" s="1413"/>
      <c r="G77" s="1253"/>
      <c r="H77" s="1253"/>
      <c r="I77" s="1253"/>
      <c r="J77" s="1416"/>
      <c r="K77" s="1253"/>
      <c r="L77" s="1422"/>
      <c r="M77" s="553" t="str">
        <f>IF('別紙様式2-2（４・５月分）'!P61="","",'別紙様式2-2（４・５月分）'!P61)</f>
        <v/>
      </c>
      <c r="N77" s="1394"/>
      <c r="O77" s="1374"/>
      <c r="P77" s="1426"/>
      <c r="Q77" s="1378"/>
      <c r="R77" s="1509"/>
      <c r="S77" s="1382"/>
      <c r="T77" s="1511"/>
      <c r="U77" s="1507"/>
      <c r="V77" s="1388"/>
      <c r="W77" s="1505"/>
      <c r="X77" s="1364"/>
      <c r="Y77" s="1505"/>
      <c r="Z77" s="1364"/>
      <c r="AA77" s="1505"/>
      <c r="AB77" s="1364"/>
      <c r="AC77" s="1505"/>
      <c r="AD77" s="1364"/>
      <c r="AE77" s="1364"/>
      <c r="AF77" s="1364"/>
      <c r="AG77" s="1360"/>
      <c r="AH77" s="1366"/>
      <c r="AI77" s="1499"/>
      <c r="AJ77" s="1370"/>
      <c r="AK77" s="1501"/>
      <c r="AL77" s="1503"/>
      <c r="AM77" s="1495"/>
      <c r="AN77" s="1476"/>
      <c r="AO77" s="1497"/>
      <c r="AP77" s="1476"/>
      <c r="AQ77" s="1478"/>
      <c r="AR77" s="1480"/>
      <c r="AS77" s="575"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1"/>
      <c r="AU77" s="1303"/>
      <c r="AV77" s="555" t="str">
        <f>IF('別紙様式2-2（４・５月分）'!N61="","",'別紙様式2-2（４・５月分）'!N61)</f>
        <v/>
      </c>
      <c r="AW77" s="1305"/>
      <c r="AX77" s="576"/>
      <c r="AY77" s="1222" t="str">
        <f>IF(OR(T77="新加算Ⅰ",T77="新加算Ⅱ",T77="新加算Ⅲ",T77="新加算Ⅳ",T77="新加算Ⅴ（１）",T77="新加算Ⅴ（２）",T77="新加算Ⅴ（３）",T77="新加算ⅠⅤ（４）",T77="新加算Ⅴ（５）",T77="新加算Ⅴ（６）",T77="新加算Ⅴ（８）",T77="新加算Ⅴ（11）"),IF(AI77="○","","未入力"),"")</f>
        <v/>
      </c>
      <c r="AZ77" s="1222" t="str">
        <f>IF(OR(U77="新加算Ⅰ",U77="新加算Ⅱ",U77="新加算Ⅲ",U77="新加算Ⅳ",U77="新加算Ⅴ（１）",U77="新加算Ⅴ（２）",U77="新加算Ⅴ（３）",U77="新加算ⅠⅤ（４）",U77="新加算Ⅴ（５）",U77="新加算Ⅴ（６）",U77="新加算Ⅴ（８）",U77="新加算Ⅴ（11）"),IF(AJ77="○","","未入力"),"")</f>
        <v/>
      </c>
      <c r="BA77" s="1222" t="str">
        <f>IF(OR(U77="新加算Ⅴ（７）",U77="新加算Ⅴ（９）",U77="新加算Ⅴ（10）",U77="新加算Ⅴ（12）",U77="新加算Ⅴ（13）",U77="新加算Ⅴ（14）"),IF(AK77="○","","未入力"),"")</f>
        <v/>
      </c>
      <c r="BB77" s="1222" t="str">
        <f>IF(OR(U77="新加算Ⅰ",U77="新加算Ⅱ",U77="新加算Ⅲ",U77="新加算Ⅴ（１）",U77="新加算Ⅴ（３）",U77="新加算Ⅴ（８）"),IF(AL77="○","","未入力"),"")</f>
        <v/>
      </c>
      <c r="BC77" s="1472"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03" t="str">
        <f>IF(AND(T77&lt;&gt;"（参考）令和７年度の移行予定",OR(U77="新加算Ⅰ",U77="新加算Ⅴ（１）",U77="新加算Ⅴ（２）",U77="新加算Ⅴ（５）",U77="新加算Ⅴ（７）",U77="新加算Ⅴ（10）")),IF(AN77="","未入力",IF(AN77="いずれも取得していない","要件を満たさない","")),"")</f>
        <v/>
      </c>
      <c r="BE77" s="1303" t="str">
        <f>G74</f>
        <v/>
      </c>
      <c r="BF77" s="1303"/>
      <c r="BG77" s="1303"/>
    </row>
    <row r="78" spans="1:59" ht="30" customHeight="1">
      <c r="A78" s="1266">
        <v>17</v>
      </c>
      <c r="B78" s="1232" t="str">
        <f>IF(基本情報入力シート!C70="","",基本情報入力シート!C70)</f>
        <v/>
      </c>
      <c r="C78" s="1233"/>
      <c r="D78" s="1233"/>
      <c r="E78" s="1233"/>
      <c r="F78" s="1234"/>
      <c r="G78" s="1251" t="str">
        <f>IF(基本情報入力シート!M70="","",基本情報入力シート!M70)</f>
        <v/>
      </c>
      <c r="H78" s="1251" t="str">
        <f>IF(基本情報入力シート!R70="","",基本情報入力シート!R70)</f>
        <v/>
      </c>
      <c r="I78" s="1251" t="str">
        <f>IF(基本情報入力シート!W70="","",基本情報入力シート!W70)</f>
        <v/>
      </c>
      <c r="J78" s="1414" t="str">
        <f>IF(基本情報入力シート!X70="","",基本情報入力シート!X70)</f>
        <v/>
      </c>
      <c r="K78" s="1251" t="str">
        <f>IF(基本情報入力シート!Y70="","",基本情報入力シート!Y70)</f>
        <v/>
      </c>
      <c r="L78" s="1427" t="str">
        <f>IF(基本情報入力シート!AB70="","",基本情報入力シート!AB70)</f>
        <v/>
      </c>
      <c r="M78" s="550" t="str">
        <f>IF('別紙様式2-2（４・５月分）'!P62="","",'別紙様式2-2（４・５月分）'!P62)</f>
        <v/>
      </c>
      <c r="N78" s="1391" t="str">
        <f>IF(SUM('別紙様式2-2（４・５月分）'!Q62:Q64)=0,"",SUM('別紙様式2-2（４・５月分）'!Q62:Q64))</f>
        <v/>
      </c>
      <c r="O78" s="1395" t="str">
        <f>IFERROR(VLOOKUP('別紙様式2-2（４・５月分）'!AQ62,【参考】数式用!$AR$5:$AS$22,2,FALSE),"")</f>
        <v/>
      </c>
      <c r="P78" s="1396"/>
      <c r="Q78" s="1397"/>
      <c r="R78" s="1531" t="str">
        <f>IFERROR(VLOOKUP(K78,【参考】数式用!$A$5:$AB$37,MATCH(O78,【参考】数式用!$B$4:$AB$4,0)+1,0),"")</f>
        <v/>
      </c>
      <c r="S78" s="1403" t="s">
        <v>2102</v>
      </c>
      <c r="T78" s="1527" t="str">
        <f>IF('別紙様式2-3（６月以降分）'!T78="","",'別紙様式2-3（６月以降分）'!T78)</f>
        <v/>
      </c>
      <c r="U78" s="1529" t="str">
        <f>IFERROR(VLOOKUP(K78,【参考】数式用!$A$5:$AB$37,MATCH(T78,【参考】数式用!$B$4:$AB$4,0)+1,0),"")</f>
        <v/>
      </c>
      <c r="V78" s="1409" t="s">
        <v>15</v>
      </c>
      <c r="W78" s="1525">
        <f>'別紙様式2-3（６月以降分）'!W78</f>
        <v>6</v>
      </c>
      <c r="X78" s="1349" t="s">
        <v>10</v>
      </c>
      <c r="Y78" s="1525">
        <f>'別紙様式2-3（６月以降分）'!Y78</f>
        <v>6</v>
      </c>
      <c r="Z78" s="1349" t="s">
        <v>38</v>
      </c>
      <c r="AA78" s="1525">
        <f>'別紙様式2-3（６月以降分）'!AA78</f>
        <v>7</v>
      </c>
      <c r="AB78" s="1349" t="s">
        <v>10</v>
      </c>
      <c r="AC78" s="1525">
        <f>'別紙様式2-3（６月以降分）'!AC78</f>
        <v>3</v>
      </c>
      <c r="AD78" s="1349" t="s">
        <v>2020</v>
      </c>
      <c r="AE78" s="1349" t="s">
        <v>20</v>
      </c>
      <c r="AF78" s="1349">
        <f>IF(W78&gt;=1,(AA78*12+AC78)-(W78*12+Y78)+1,"")</f>
        <v>10</v>
      </c>
      <c r="AG78" s="1351" t="s">
        <v>33</v>
      </c>
      <c r="AH78" s="1517" t="str">
        <f>'別紙様式2-3（６月以降分）'!AH78</f>
        <v/>
      </c>
      <c r="AI78" s="1519" t="str">
        <f>'別紙様式2-3（６月以降分）'!AI78</f>
        <v/>
      </c>
      <c r="AJ78" s="1521">
        <f>'別紙様式2-3（６月以降分）'!AJ78</f>
        <v>0</v>
      </c>
      <c r="AK78" s="1523" t="str">
        <f>IF('別紙様式2-3（６月以降分）'!AK78="","",'別紙様式2-3（６月以降分）'!AK78)</f>
        <v/>
      </c>
      <c r="AL78" s="1512">
        <f>'別紙様式2-3（６月以降分）'!AL78</f>
        <v>0</v>
      </c>
      <c r="AM78" s="1514" t="str">
        <f>IF('別紙様式2-3（６月以降分）'!AM78="","",'別紙様式2-3（６月以降分）'!AM78)</f>
        <v/>
      </c>
      <c r="AN78" s="1333" t="str">
        <f>IF('別紙様式2-3（６月以降分）'!AN78="","",'別紙様式2-3（６月以降分）'!AN78)</f>
        <v/>
      </c>
      <c r="AO78" s="1331" t="str">
        <f>IF('別紙様式2-3（６月以降分）'!AO78="","",'別紙様式2-3（６月以降分）'!AO78)</f>
        <v/>
      </c>
      <c r="AP78" s="1333" t="str">
        <f>IF('別紙様式2-3（６月以降分）'!AP78="","",'別紙様式2-3（６月以降分）'!AP78)</f>
        <v/>
      </c>
      <c r="AQ78" s="1481" t="str">
        <f>IF('別紙様式2-3（６月以降分）'!AQ78="","",'別紙様式2-3（６月以降分）'!AQ78)</f>
        <v/>
      </c>
      <c r="AR78" s="1484" t="str">
        <f>IF('別紙様式2-3（６月以降分）'!AR78="","",'別紙様式2-3（６月以降分）'!AR78)</f>
        <v/>
      </c>
      <c r="AS78" s="570" t="str">
        <f t="shared" ref="AS78" si="105">IF(AU80="","",IF(U80&lt;U78,"！加算の要件上は問題ありませんが、令和６年度当初の新加算の加算率と比較して、移行後の加算率が下がる計画になっています。",""))</f>
        <v/>
      </c>
      <c r="AT78" s="577"/>
      <c r="AU78" s="1301"/>
      <c r="AV78" s="555" t="str">
        <f>IF('別紙様式2-2（４・５月分）'!N62="","",'別紙様式2-2（４・５月分）'!N62)</f>
        <v/>
      </c>
      <c r="AW78" s="1305" t="str">
        <f>IF(SUM('別紙様式2-2（４・５月分）'!O62:O64)=0,"",SUM('別紙様式2-2（４・５月分）'!O62:O64))</f>
        <v/>
      </c>
      <c r="AX78" s="1473" t="str">
        <f>IFERROR(VLOOKUP(K78,【参考】数式用!$AH$2:$AI$34,2,FALSE),"")</f>
        <v/>
      </c>
      <c r="AY78" s="493"/>
      <c r="BD78" s="340"/>
      <c r="BE78" s="1303" t="str">
        <f>G78</f>
        <v/>
      </c>
      <c r="BF78" s="1303"/>
      <c r="BG78" s="1303"/>
    </row>
    <row r="79" spans="1:59" ht="15" customHeight="1">
      <c r="A79" s="1267"/>
      <c r="B79" s="1235"/>
      <c r="C79" s="1236"/>
      <c r="D79" s="1236"/>
      <c r="E79" s="1236"/>
      <c r="F79" s="1237"/>
      <c r="G79" s="1252"/>
      <c r="H79" s="1252"/>
      <c r="I79" s="1252"/>
      <c r="J79" s="1415"/>
      <c r="K79" s="1252"/>
      <c r="L79" s="1421"/>
      <c r="M79" s="1371" t="str">
        <f>IF('別紙様式2-2（４・５月分）'!P63="","",'別紙様式2-2（４・５月分）'!P63)</f>
        <v/>
      </c>
      <c r="N79" s="1392"/>
      <c r="O79" s="1398"/>
      <c r="P79" s="1399"/>
      <c r="Q79" s="1400"/>
      <c r="R79" s="1532"/>
      <c r="S79" s="1404"/>
      <c r="T79" s="1528"/>
      <c r="U79" s="1530"/>
      <c r="V79" s="1410"/>
      <c r="W79" s="1526"/>
      <c r="X79" s="1350"/>
      <c r="Y79" s="1526"/>
      <c r="Z79" s="1350"/>
      <c r="AA79" s="1526"/>
      <c r="AB79" s="1350"/>
      <c r="AC79" s="1526"/>
      <c r="AD79" s="1350"/>
      <c r="AE79" s="1350"/>
      <c r="AF79" s="1350"/>
      <c r="AG79" s="1352"/>
      <c r="AH79" s="1518"/>
      <c r="AI79" s="1520"/>
      <c r="AJ79" s="1522"/>
      <c r="AK79" s="1524"/>
      <c r="AL79" s="1513"/>
      <c r="AM79" s="1515"/>
      <c r="AN79" s="1334"/>
      <c r="AO79" s="1516"/>
      <c r="AP79" s="1334"/>
      <c r="AQ79" s="1482"/>
      <c r="AR79" s="1485"/>
      <c r="AS79" s="1483" t="str">
        <f t="shared" ref="AS79" si="106">IF(AU80="","",IF(OR(AA80="",AA80&lt;&gt;7,AC80="",AC80&lt;&gt;3),"！算定期間の終わりが令和７年３月になっていません。年度内の廃止予定等がなければ、算定対象月を令和７年３月にしてください。",""))</f>
        <v/>
      </c>
      <c r="AT79" s="577"/>
      <c r="AU79" s="1303"/>
      <c r="AV79" s="1304" t="str">
        <f>IF('別紙様式2-2（４・５月分）'!N63="","",'別紙様式2-2（４・５月分）'!N63)</f>
        <v/>
      </c>
      <c r="AW79" s="1305"/>
      <c r="AX79" s="1474"/>
      <c r="AY79" s="430"/>
      <c r="BD79" s="340"/>
      <c r="BE79" s="1303" t="str">
        <f>G78</f>
        <v/>
      </c>
      <c r="BF79" s="1303"/>
      <c r="BG79" s="1303"/>
    </row>
    <row r="80" spans="1:59" ht="15" customHeight="1">
      <c r="A80" s="1295"/>
      <c r="B80" s="1235"/>
      <c r="C80" s="1236"/>
      <c r="D80" s="1236"/>
      <c r="E80" s="1236"/>
      <c r="F80" s="1237"/>
      <c r="G80" s="1252"/>
      <c r="H80" s="1252"/>
      <c r="I80" s="1252"/>
      <c r="J80" s="1415"/>
      <c r="K80" s="1252"/>
      <c r="L80" s="1421"/>
      <c r="M80" s="1372"/>
      <c r="N80" s="1393"/>
      <c r="O80" s="1373" t="s">
        <v>2025</v>
      </c>
      <c r="P80" s="1425" t="str">
        <f>IFERROR(VLOOKUP('別紙様式2-2（４・５月分）'!AQ62,【参考】数式用!$AR$5:$AT$22,3,FALSE),"")</f>
        <v/>
      </c>
      <c r="Q80" s="1377" t="s">
        <v>2036</v>
      </c>
      <c r="R80" s="1508" t="str">
        <f>IFERROR(VLOOKUP(K78,【参考】数式用!$A$5:$AB$37,MATCH(P80,【参考】数式用!$B$4:$AB$4,0)+1,0),"")</f>
        <v/>
      </c>
      <c r="S80" s="1381" t="s">
        <v>2109</v>
      </c>
      <c r="T80" s="1510"/>
      <c r="U80" s="1506" t="str">
        <f>IFERROR(VLOOKUP(K78,【参考】数式用!$A$5:$AB$37,MATCH(T80,【参考】数式用!$B$4:$AB$4,0)+1,0),"")</f>
        <v/>
      </c>
      <c r="V80" s="1387" t="s">
        <v>15</v>
      </c>
      <c r="W80" s="1504"/>
      <c r="X80" s="1363" t="s">
        <v>10</v>
      </c>
      <c r="Y80" s="1504"/>
      <c r="Z80" s="1363" t="s">
        <v>38</v>
      </c>
      <c r="AA80" s="1504"/>
      <c r="AB80" s="1363" t="s">
        <v>10</v>
      </c>
      <c r="AC80" s="1504"/>
      <c r="AD80" s="1363" t="s">
        <v>2020</v>
      </c>
      <c r="AE80" s="1363" t="s">
        <v>20</v>
      </c>
      <c r="AF80" s="1363" t="str">
        <f>IF(W80&gt;=1,(AA80*12+AC80)-(W80*12+Y80)+1,"")</f>
        <v/>
      </c>
      <c r="AG80" s="1359" t="s">
        <v>33</v>
      </c>
      <c r="AH80" s="1365" t="str">
        <f t="shared" ref="AH80" si="107">IFERROR(ROUNDDOWN(ROUND(L78*U80,0),0)*AF80,"")</f>
        <v/>
      </c>
      <c r="AI80" s="1498" t="str">
        <f t="shared" ref="AI80" si="108">IFERROR(ROUNDDOWN(ROUND((L78*(U80-AW78)),0),0)*AF80,"")</f>
        <v/>
      </c>
      <c r="AJ80" s="1369" t="str">
        <f>IFERROR(ROUNDDOWN(ROUNDDOWN(ROUND(L78*VLOOKUP(K78,【参考】数式用!$A$5:$AB$27,MATCH("新加算Ⅳ",【参考】数式用!$B$4:$AB$4,0)+1,0),0),0)*AF80*0.5,0),"")</f>
        <v/>
      </c>
      <c r="AK80" s="1500"/>
      <c r="AL80" s="1502" t="str">
        <f>IFERROR(IF('別紙様式2-2（４・５月分）'!P80="ベア加算","", IF(OR(T80="新加算Ⅰ",T80="新加算Ⅱ",T80="新加算Ⅲ",T80="新加算Ⅳ"),ROUNDDOWN(ROUND(L78*VLOOKUP(K78,【参考】数式用!$A$5:$I$27,MATCH("ベア加算",【参考】数式用!$B$4:$I$4,0)+1,0),0),0)*AF80,"")),"")</f>
        <v/>
      </c>
      <c r="AM80" s="1494"/>
      <c r="AN80" s="1475"/>
      <c r="AO80" s="1496"/>
      <c r="AP80" s="1475"/>
      <c r="AQ80" s="1477"/>
      <c r="AR80" s="1479"/>
      <c r="AS80" s="1483"/>
      <c r="AT80" s="451"/>
      <c r="AU80" s="1303" t="str">
        <f>IF(AND(AA78&lt;&gt;7,AC78&lt;&gt;3),"V列に色付け","")</f>
        <v/>
      </c>
      <c r="AV80" s="1304"/>
      <c r="AW80" s="1305"/>
      <c r="AX80" s="574"/>
      <c r="AY80" s="1222" t="str">
        <f>IF(AL80&lt;&gt;"",IF(AM80="○","入力済","未入力"),"")</f>
        <v/>
      </c>
      <c r="AZ80" s="1222"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2" t="str">
        <f>IF(OR(T80="新加算Ⅴ（７）",T80="新加算Ⅴ（９）",T80="新加算Ⅴ（10）",T80="新加算Ⅴ（12）",T80="新加算Ⅴ（13）",T80="新加算Ⅴ（14）"),IF(OR(AO80="○",AO80="令和６年度中に満たす"),"入力済","未入力"),"")</f>
        <v/>
      </c>
      <c r="BB80" s="1222" t="str">
        <f>IF(OR(T80="新加算Ⅰ",T80="新加算Ⅱ",T80="新加算Ⅲ",T80="新加算Ⅴ（１）",T80="新加算Ⅴ（３）",T80="新加算Ⅴ（８）"),IF(OR(AP80="○",AP80="令和６年度中に満たす"),"入力済","未入力"),"")</f>
        <v/>
      </c>
      <c r="BC80" s="1472" t="str">
        <f t="shared" ref="BC80" si="109">IF(OR(T80="新加算Ⅰ",T80="新加算Ⅱ",T80="新加算Ⅴ（１）",T80="新加算Ⅴ（２）",T80="新加算Ⅴ（３）",T80="新加算Ⅴ（４）",T80="新加算Ⅴ（５）",T80="新加算Ⅴ（６）",T80="新加算Ⅴ（７）",T80="新加算Ⅴ（９）",T80="新加算Ⅴ（10）",T80="新加算Ⅴ（12）"),IF(AQ80&lt;&gt;"",1,""),"")</f>
        <v/>
      </c>
      <c r="BD80" s="1303" t="str">
        <f>IF(OR(T80="新加算Ⅰ",T80="新加算Ⅴ（１）",T80="新加算Ⅴ（２）",T80="新加算Ⅴ（５）",T80="新加算Ⅴ（７）",T80="新加算Ⅴ（10）"),IF(AR80="","未入力","入力済"),"")</f>
        <v/>
      </c>
      <c r="BE80" s="1303" t="str">
        <f>G78</f>
        <v/>
      </c>
      <c r="BF80" s="1303"/>
      <c r="BG80" s="1303"/>
    </row>
    <row r="81" spans="1:59" ht="30" customHeight="1" thickBot="1">
      <c r="A81" s="1268"/>
      <c r="B81" s="1411"/>
      <c r="C81" s="1412"/>
      <c r="D81" s="1412"/>
      <c r="E81" s="1412"/>
      <c r="F81" s="1413"/>
      <c r="G81" s="1253"/>
      <c r="H81" s="1253"/>
      <c r="I81" s="1253"/>
      <c r="J81" s="1416"/>
      <c r="K81" s="1253"/>
      <c r="L81" s="1422"/>
      <c r="M81" s="553" t="str">
        <f>IF('別紙様式2-2（４・５月分）'!P64="","",'別紙様式2-2（４・５月分）'!P64)</f>
        <v/>
      </c>
      <c r="N81" s="1394"/>
      <c r="O81" s="1374"/>
      <c r="P81" s="1426"/>
      <c r="Q81" s="1378"/>
      <c r="R81" s="1509"/>
      <c r="S81" s="1382"/>
      <c r="T81" s="1511"/>
      <c r="U81" s="1507"/>
      <c r="V81" s="1388"/>
      <c r="W81" s="1505"/>
      <c r="X81" s="1364"/>
      <c r="Y81" s="1505"/>
      <c r="Z81" s="1364"/>
      <c r="AA81" s="1505"/>
      <c r="AB81" s="1364"/>
      <c r="AC81" s="1505"/>
      <c r="AD81" s="1364"/>
      <c r="AE81" s="1364"/>
      <c r="AF81" s="1364"/>
      <c r="AG81" s="1360"/>
      <c r="AH81" s="1366"/>
      <c r="AI81" s="1499"/>
      <c r="AJ81" s="1370"/>
      <c r="AK81" s="1501"/>
      <c r="AL81" s="1503"/>
      <c r="AM81" s="1495"/>
      <c r="AN81" s="1476"/>
      <c r="AO81" s="1497"/>
      <c r="AP81" s="1476"/>
      <c r="AQ81" s="1478"/>
      <c r="AR81" s="1480"/>
      <c r="AS81" s="575"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1"/>
      <c r="AU81" s="1303"/>
      <c r="AV81" s="555" t="str">
        <f>IF('別紙様式2-2（４・５月分）'!N64="","",'別紙様式2-2（４・５月分）'!N64)</f>
        <v/>
      </c>
      <c r="AW81" s="1305"/>
      <c r="AX81" s="576"/>
      <c r="AY81" s="1222" t="str">
        <f>IF(OR(T81="新加算Ⅰ",T81="新加算Ⅱ",T81="新加算Ⅲ",T81="新加算Ⅳ",T81="新加算Ⅴ（１）",T81="新加算Ⅴ（２）",T81="新加算Ⅴ（３）",T81="新加算ⅠⅤ（４）",T81="新加算Ⅴ（５）",T81="新加算Ⅴ（６）",T81="新加算Ⅴ（８）",T81="新加算Ⅴ（11）"),IF(AI81="○","","未入力"),"")</f>
        <v/>
      </c>
      <c r="AZ81" s="1222" t="str">
        <f>IF(OR(U81="新加算Ⅰ",U81="新加算Ⅱ",U81="新加算Ⅲ",U81="新加算Ⅳ",U81="新加算Ⅴ（１）",U81="新加算Ⅴ（２）",U81="新加算Ⅴ（３）",U81="新加算ⅠⅤ（４）",U81="新加算Ⅴ（５）",U81="新加算Ⅴ（６）",U81="新加算Ⅴ（８）",U81="新加算Ⅴ（11）"),IF(AJ81="○","","未入力"),"")</f>
        <v/>
      </c>
      <c r="BA81" s="1222" t="str">
        <f>IF(OR(U81="新加算Ⅴ（７）",U81="新加算Ⅴ（９）",U81="新加算Ⅴ（10）",U81="新加算Ⅴ（12）",U81="新加算Ⅴ（13）",U81="新加算Ⅴ（14）"),IF(AK81="○","","未入力"),"")</f>
        <v/>
      </c>
      <c r="BB81" s="1222" t="str">
        <f>IF(OR(U81="新加算Ⅰ",U81="新加算Ⅱ",U81="新加算Ⅲ",U81="新加算Ⅴ（１）",U81="新加算Ⅴ（３）",U81="新加算Ⅴ（８）"),IF(AL81="○","","未入力"),"")</f>
        <v/>
      </c>
      <c r="BC81" s="1472"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03" t="str">
        <f>IF(AND(T81&lt;&gt;"（参考）令和７年度の移行予定",OR(U81="新加算Ⅰ",U81="新加算Ⅴ（１）",U81="新加算Ⅴ（２）",U81="新加算Ⅴ（５）",U81="新加算Ⅴ（７）",U81="新加算Ⅴ（10）")),IF(AN81="","未入力",IF(AN81="いずれも取得していない","要件を満たさない","")),"")</f>
        <v/>
      </c>
      <c r="BE81" s="1303" t="str">
        <f>G78</f>
        <v/>
      </c>
      <c r="BF81" s="1303"/>
      <c r="BG81" s="1303"/>
    </row>
    <row r="82" spans="1:59" ht="30" customHeight="1">
      <c r="A82" s="1293">
        <v>18</v>
      </c>
      <c r="B82" s="1235" t="str">
        <f>IF(基本情報入力シート!C71="","",基本情報入力シート!C71)</f>
        <v/>
      </c>
      <c r="C82" s="1236"/>
      <c r="D82" s="1236"/>
      <c r="E82" s="1236"/>
      <c r="F82" s="1237"/>
      <c r="G82" s="1252" t="str">
        <f>IF(基本情報入力シート!M71="","",基本情報入力シート!M71)</f>
        <v/>
      </c>
      <c r="H82" s="1252" t="str">
        <f>IF(基本情報入力シート!R71="","",基本情報入力シート!R71)</f>
        <v/>
      </c>
      <c r="I82" s="1252" t="str">
        <f>IF(基本情報入力シート!W71="","",基本情報入力シート!W71)</f>
        <v/>
      </c>
      <c r="J82" s="1415" t="str">
        <f>IF(基本情報入力シート!X71="","",基本情報入力シート!X71)</f>
        <v/>
      </c>
      <c r="K82" s="1252" t="str">
        <f>IF(基本情報入力シート!Y71="","",基本情報入力シート!Y71)</f>
        <v/>
      </c>
      <c r="L82" s="1421" t="str">
        <f>IF(基本情報入力シート!AB71="","",基本情報入力シート!AB71)</f>
        <v/>
      </c>
      <c r="M82" s="550" t="str">
        <f>IF('別紙様式2-2（４・５月分）'!P65="","",'別紙様式2-2（４・５月分）'!P65)</f>
        <v/>
      </c>
      <c r="N82" s="1391" t="str">
        <f>IF(SUM('別紙様式2-2（４・５月分）'!Q65:Q67)=0,"",SUM('別紙様式2-2（４・５月分）'!Q65:Q67))</f>
        <v/>
      </c>
      <c r="O82" s="1395" t="str">
        <f>IFERROR(VLOOKUP('別紙様式2-2（４・５月分）'!AQ65,【参考】数式用!$AR$5:$AS$22,2,FALSE),"")</f>
        <v/>
      </c>
      <c r="P82" s="1396"/>
      <c r="Q82" s="1397"/>
      <c r="R82" s="1531" t="str">
        <f>IFERROR(VLOOKUP(K82,【参考】数式用!$A$5:$AB$37,MATCH(O82,【参考】数式用!$B$4:$AB$4,0)+1,0),"")</f>
        <v/>
      </c>
      <c r="S82" s="1403" t="s">
        <v>2102</v>
      </c>
      <c r="T82" s="1527" t="str">
        <f>IF('別紙様式2-3（６月以降分）'!T82="","",'別紙様式2-3（６月以降分）'!T82)</f>
        <v/>
      </c>
      <c r="U82" s="1529" t="str">
        <f>IFERROR(VLOOKUP(K82,【参考】数式用!$A$5:$AB$37,MATCH(T82,【参考】数式用!$B$4:$AB$4,0)+1,0),"")</f>
        <v/>
      </c>
      <c r="V82" s="1409" t="s">
        <v>15</v>
      </c>
      <c r="W82" s="1525">
        <f>'別紙様式2-3（６月以降分）'!W82</f>
        <v>6</v>
      </c>
      <c r="X82" s="1349" t="s">
        <v>10</v>
      </c>
      <c r="Y82" s="1525">
        <f>'別紙様式2-3（６月以降分）'!Y82</f>
        <v>6</v>
      </c>
      <c r="Z82" s="1349" t="s">
        <v>38</v>
      </c>
      <c r="AA82" s="1525">
        <f>'別紙様式2-3（６月以降分）'!AA82</f>
        <v>7</v>
      </c>
      <c r="AB82" s="1349" t="s">
        <v>10</v>
      </c>
      <c r="AC82" s="1525">
        <f>'別紙様式2-3（６月以降分）'!AC82</f>
        <v>3</v>
      </c>
      <c r="AD82" s="1349" t="s">
        <v>2020</v>
      </c>
      <c r="AE82" s="1349" t="s">
        <v>20</v>
      </c>
      <c r="AF82" s="1349">
        <f>IF(W82&gt;=1,(AA82*12+AC82)-(W82*12+Y82)+1,"")</f>
        <v>10</v>
      </c>
      <c r="AG82" s="1351" t="s">
        <v>33</v>
      </c>
      <c r="AH82" s="1517" t="str">
        <f>'別紙様式2-3（６月以降分）'!AH82</f>
        <v/>
      </c>
      <c r="AI82" s="1519" t="str">
        <f>'別紙様式2-3（６月以降分）'!AI82</f>
        <v/>
      </c>
      <c r="AJ82" s="1521">
        <f>'別紙様式2-3（６月以降分）'!AJ82</f>
        <v>0</v>
      </c>
      <c r="AK82" s="1523" t="str">
        <f>IF('別紙様式2-3（６月以降分）'!AK82="","",'別紙様式2-3（６月以降分）'!AK82)</f>
        <v/>
      </c>
      <c r="AL82" s="1512">
        <f>'別紙様式2-3（６月以降分）'!AL82</f>
        <v>0</v>
      </c>
      <c r="AM82" s="1514" t="str">
        <f>IF('別紙様式2-3（６月以降分）'!AM82="","",'別紙様式2-3（６月以降分）'!AM82)</f>
        <v/>
      </c>
      <c r="AN82" s="1333" t="str">
        <f>IF('別紙様式2-3（６月以降分）'!AN82="","",'別紙様式2-3（６月以降分）'!AN82)</f>
        <v/>
      </c>
      <c r="AO82" s="1331" t="str">
        <f>IF('別紙様式2-3（６月以降分）'!AO82="","",'別紙様式2-3（６月以降分）'!AO82)</f>
        <v/>
      </c>
      <c r="AP82" s="1333" t="str">
        <f>IF('別紙様式2-3（６月以降分）'!AP82="","",'別紙様式2-3（６月以降分）'!AP82)</f>
        <v/>
      </c>
      <c r="AQ82" s="1481" t="str">
        <f>IF('別紙様式2-3（６月以降分）'!AQ82="","",'別紙様式2-3（６月以降分）'!AQ82)</f>
        <v/>
      </c>
      <c r="AR82" s="1484" t="str">
        <f>IF('別紙様式2-3（６月以降分）'!AR82="","",'別紙様式2-3（６月以降分）'!AR82)</f>
        <v/>
      </c>
      <c r="AS82" s="570" t="str">
        <f t="shared" ref="AS82" si="112">IF(AU84="","",IF(U84&lt;U82,"！加算の要件上は問題ありませんが、令和６年度当初の新加算の加算率と比較して、移行後の加算率が下がる計画になっています。",""))</f>
        <v/>
      </c>
      <c r="AT82" s="577"/>
      <c r="AU82" s="1301"/>
      <c r="AV82" s="555" t="str">
        <f>IF('別紙様式2-2（４・５月分）'!N65="","",'別紙様式2-2（４・５月分）'!N65)</f>
        <v/>
      </c>
      <c r="AW82" s="1305" t="str">
        <f>IF(SUM('別紙様式2-2（４・５月分）'!O65:O67)=0,"",SUM('別紙様式2-2（４・５月分）'!O65:O67))</f>
        <v/>
      </c>
      <c r="AX82" s="1473" t="str">
        <f>IFERROR(VLOOKUP(K82,【参考】数式用!$AH$2:$AI$34,2,FALSE),"")</f>
        <v/>
      </c>
      <c r="AY82" s="493"/>
      <c r="BD82" s="340"/>
      <c r="BE82" s="1303" t="str">
        <f>G82</f>
        <v/>
      </c>
      <c r="BF82" s="1303"/>
      <c r="BG82" s="1303"/>
    </row>
    <row r="83" spans="1:59" ht="15" customHeight="1">
      <c r="A83" s="1267"/>
      <c r="B83" s="1235"/>
      <c r="C83" s="1236"/>
      <c r="D83" s="1236"/>
      <c r="E83" s="1236"/>
      <c r="F83" s="1237"/>
      <c r="G83" s="1252"/>
      <c r="H83" s="1252"/>
      <c r="I83" s="1252"/>
      <c r="J83" s="1415"/>
      <c r="K83" s="1252"/>
      <c r="L83" s="1421"/>
      <c r="M83" s="1371" t="str">
        <f>IF('別紙様式2-2（４・５月分）'!P66="","",'別紙様式2-2（４・５月分）'!P66)</f>
        <v/>
      </c>
      <c r="N83" s="1392"/>
      <c r="O83" s="1398"/>
      <c r="P83" s="1399"/>
      <c r="Q83" s="1400"/>
      <c r="R83" s="1532"/>
      <c r="S83" s="1404"/>
      <c r="T83" s="1528"/>
      <c r="U83" s="1530"/>
      <c r="V83" s="1410"/>
      <c r="W83" s="1526"/>
      <c r="X83" s="1350"/>
      <c r="Y83" s="1526"/>
      <c r="Z83" s="1350"/>
      <c r="AA83" s="1526"/>
      <c r="AB83" s="1350"/>
      <c r="AC83" s="1526"/>
      <c r="AD83" s="1350"/>
      <c r="AE83" s="1350"/>
      <c r="AF83" s="1350"/>
      <c r="AG83" s="1352"/>
      <c r="AH83" s="1518"/>
      <c r="AI83" s="1520"/>
      <c r="AJ83" s="1522"/>
      <c r="AK83" s="1524"/>
      <c r="AL83" s="1513"/>
      <c r="AM83" s="1515"/>
      <c r="AN83" s="1334"/>
      <c r="AO83" s="1516"/>
      <c r="AP83" s="1334"/>
      <c r="AQ83" s="1482"/>
      <c r="AR83" s="1485"/>
      <c r="AS83" s="1483" t="str">
        <f t="shared" ref="AS83" si="113">IF(AU84="","",IF(OR(AA84="",AA84&lt;&gt;7,AC84="",AC84&lt;&gt;3),"！算定期間の終わりが令和７年３月になっていません。年度内の廃止予定等がなければ、算定対象月を令和７年３月にしてください。",""))</f>
        <v/>
      </c>
      <c r="AT83" s="577"/>
      <c r="AU83" s="1303"/>
      <c r="AV83" s="1304" t="str">
        <f>IF('別紙様式2-2（４・５月分）'!N66="","",'別紙様式2-2（４・５月分）'!N66)</f>
        <v/>
      </c>
      <c r="AW83" s="1305"/>
      <c r="AX83" s="1474"/>
      <c r="AY83" s="430"/>
      <c r="BD83" s="340"/>
      <c r="BE83" s="1303" t="str">
        <f>G82</f>
        <v/>
      </c>
      <c r="BF83" s="1303"/>
      <c r="BG83" s="1303"/>
    </row>
    <row r="84" spans="1:59" ht="15" customHeight="1">
      <c r="A84" s="1295"/>
      <c r="B84" s="1235"/>
      <c r="C84" s="1236"/>
      <c r="D84" s="1236"/>
      <c r="E84" s="1236"/>
      <c r="F84" s="1237"/>
      <c r="G84" s="1252"/>
      <c r="H84" s="1252"/>
      <c r="I84" s="1252"/>
      <c r="J84" s="1415"/>
      <c r="K84" s="1252"/>
      <c r="L84" s="1421"/>
      <c r="M84" s="1372"/>
      <c r="N84" s="1393"/>
      <c r="O84" s="1373" t="s">
        <v>2025</v>
      </c>
      <c r="P84" s="1425" t="str">
        <f>IFERROR(VLOOKUP('別紙様式2-2（４・５月分）'!AQ65,【参考】数式用!$AR$5:$AT$22,3,FALSE),"")</f>
        <v/>
      </c>
      <c r="Q84" s="1377" t="s">
        <v>2036</v>
      </c>
      <c r="R84" s="1508" t="str">
        <f>IFERROR(VLOOKUP(K82,【参考】数式用!$A$5:$AB$37,MATCH(P84,【参考】数式用!$B$4:$AB$4,0)+1,0),"")</f>
        <v/>
      </c>
      <c r="S84" s="1381" t="s">
        <v>2109</v>
      </c>
      <c r="T84" s="1510"/>
      <c r="U84" s="1506" t="str">
        <f>IFERROR(VLOOKUP(K82,【参考】数式用!$A$5:$AB$37,MATCH(T84,【参考】数式用!$B$4:$AB$4,0)+1,0),"")</f>
        <v/>
      </c>
      <c r="V84" s="1387" t="s">
        <v>15</v>
      </c>
      <c r="W84" s="1504"/>
      <c r="X84" s="1363" t="s">
        <v>10</v>
      </c>
      <c r="Y84" s="1504"/>
      <c r="Z84" s="1363" t="s">
        <v>38</v>
      </c>
      <c r="AA84" s="1504"/>
      <c r="AB84" s="1363" t="s">
        <v>10</v>
      </c>
      <c r="AC84" s="1504"/>
      <c r="AD84" s="1363" t="s">
        <v>2020</v>
      </c>
      <c r="AE84" s="1363" t="s">
        <v>20</v>
      </c>
      <c r="AF84" s="1363" t="str">
        <f>IF(W84&gt;=1,(AA84*12+AC84)-(W84*12+Y84)+1,"")</f>
        <v/>
      </c>
      <c r="AG84" s="1359" t="s">
        <v>33</v>
      </c>
      <c r="AH84" s="1365" t="str">
        <f t="shared" ref="AH84" si="114">IFERROR(ROUNDDOWN(ROUND(L82*U84,0),0)*AF84,"")</f>
        <v/>
      </c>
      <c r="AI84" s="1498" t="str">
        <f t="shared" ref="AI84" si="115">IFERROR(ROUNDDOWN(ROUND((L82*(U84-AW82)),0),0)*AF84,"")</f>
        <v/>
      </c>
      <c r="AJ84" s="1369" t="str">
        <f>IFERROR(ROUNDDOWN(ROUNDDOWN(ROUND(L82*VLOOKUP(K82,【参考】数式用!$A$5:$AB$27,MATCH("新加算Ⅳ",【参考】数式用!$B$4:$AB$4,0)+1,0),0),0)*AF84*0.5,0),"")</f>
        <v/>
      </c>
      <c r="AK84" s="1500"/>
      <c r="AL84" s="1502" t="str">
        <f>IFERROR(IF('別紙様式2-2（４・５月分）'!P84="ベア加算","", IF(OR(T84="新加算Ⅰ",T84="新加算Ⅱ",T84="新加算Ⅲ",T84="新加算Ⅳ"),ROUNDDOWN(ROUND(L82*VLOOKUP(K82,【参考】数式用!$A$5:$I$27,MATCH("ベア加算",【参考】数式用!$B$4:$I$4,0)+1,0),0),0)*AF84,"")),"")</f>
        <v/>
      </c>
      <c r="AM84" s="1494"/>
      <c r="AN84" s="1475"/>
      <c r="AO84" s="1496"/>
      <c r="AP84" s="1475"/>
      <c r="AQ84" s="1477"/>
      <c r="AR84" s="1479"/>
      <c r="AS84" s="1483"/>
      <c r="AT84" s="451"/>
      <c r="AU84" s="1303" t="str">
        <f>IF(AND(AA82&lt;&gt;7,AC82&lt;&gt;3),"V列に色付け","")</f>
        <v/>
      </c>
      <c r="AV84" s="1304"/>
      <c r="AW84" s="1305"/>
      <c r="AX84" s="574"/>
      <c r="AY84" s="1222" t="str">
        <f>IF(AL84&lt;&gt;"",IF(AM84="○","入力済","未入力"),"")</f>
        <v/>
      </c>
      <c r="AZ84" s="1222"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2" t="str">
        <f>IF(OR(T84="新加算Ⅴ（７）",T84="新加算Ⅴ（９）",T84="新加算Ⅴ（10）",T84="新加算Ⅴ（12）",T84="新加算Ⅴ（13）",T84="新加算Ⅴ（14）"),IF(OR(AO84="○",AO84="令和６年度中に満たす"),"入力済","未入力"),"")</f>
        <v/>
      </c>
      <c r="BB84" s="1222" t="str">
        <f>IF(OR(T84="新加算Ⅰ",T84="新加算Ⅱ",T84="新加算Ⅲ",T84="新加算Ⅴ（１）",T84="新加算Ⅴ（３）",T84="新加算Ⅴ（８）"),IF(OR(AP84="○",AP84="令和６年度中に満たす"),"入力済","未入力"),"")</f>
        <v/>
      </c>
      <c r="BC84" s="1472" t="str">
        <f t="shared" ref="BC84" si="116">IF(OR(T84="新加算Ⅰ",T84="新加算Ⅱ",T84="新加算Ⅴ（１）",T84="新加算Ⅴ（２）",T84="新加算Ⅴ（３）",T84="新加算Ⅴ（４）",T84="新加算Ⅴ（５）",T84="新加算Ⅴ（６）",T84="新加算Ⅴ（７）",T84="新加算Ⅴ（９）",T84="新加算Ⅴ（10）",T84="新加算Ⅴ（12）"),IF(AQ84&lt;&gt;"",1,""),"")</f>
        <v/>
      </c>
      <c r="BD84" s="1303" t="str">
        <f>IF(OR(T84="新加算Ⅰ",T84="新加算Ⅴ（１）",T84="新加算Ⅴ（２）",T84="新加算Ⅴ（５）",T84="新加算Ⅴ（７）",T84="新加算Ⅴ（10）"),IF(AR84="","未入力","入力済"),"")</f>
        <v/>
      </c>
      <c r="BE84" s="1303" t="str">
        <f>G82</f>
        <v/>
      </c>
      <c r="BF84" s="1303"/>
      <c r="BG84" s="1303"/>
    </row>
    <row r="85" spans="1:59" ht="30" customHeight="1" thickBot="1">
      <c r="A85" s="1268"/>
      <c r="B85" s="1411"/>
      <c r="C85" s="1412"/>
      <c r="D85" s="1412"/>
      <c r="E85" s="1412"/>
      <c r="F85" s="1413"/>
      <c r="G85" s="1253"/>
      <c r="H85" s="1253"/>
      <c r="I85" s="1253"/>
      <c r="J85" s="1416"/>
      <c r="K85" s="1253"/>
      <c r="L85" s="1422"/>
      <c r="M85" s="553" t="str">
        <f>IF('別紙様式2-2（４・５月分）'!P67="","",'別紙様式2-2（４・５月分）'!P67)</f>
        <v/>
      </c>
      <c r="N85" s="1394"/>
      <c r="O85" s="1374"/>
      <c r="P85" s="1426"/>
      <c r="Q85" s="1378"/>
      <c r="R85" s="1509"/>
      <c r="S85" s="1382"/>
      <c r="T85" s="1511"/>
      <c r="U85" s="1507"/>
      <c r="V85" s="1388"/>
      <c r="W85" s="1505"/>
      <c r="X85" s="1364"/>
      <c r="Y85" s="1505"/>
      <c r="Z85" s="1364"/>
      <c r="AA85" s="1505"/>
      <c r="AB85" s="1364"/>
      <c r="AC85" s="1505"/>
      <c r="AD85" s="1364"/>
      <c r="AE85" s="1364"/>
      <c r="AF85" s="1364"/>
      <c r="AG85" s="1360"/>
      <c r="AH85" s="1366"/>
      <c r="AI85" s="1499"/>
      <c r="AJ85" s="1370"/>
      <c r="AK85" s="1501"/>
      <c r="AL85" s="1503"/>
      <c r="AM85" s="1495"/>
      <c r="AN85" s="1476"/>
      <c r="AO85" s="1497"/>
      <c r="AP85" s="1476"/>
      <c r="AQ85" s="1478"/>
      <c r="AR85" s="1480"/>
      <c r="AS85" s="575"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1"/>
      <c r="AU85" s="1303"/>
      <c r="AV85" s="555" t="str">
        <f>IF('別紙様式2-2（４・５月分）'!N67="","",'別紙様式2-2（４・５月分）'!N67)</f>
        <v/>
      </c>
      <c r="AW85" s="1305"/>
      <c r="AX85" s="576"/>
      <c r="AY85" s="1222" t="str">
        <f>IF(OR(T85="新加算Ⅰ",T85="新加算Ⅱ",T85="新加算Ⅲ",T85="新加算Ⅳ",T85="新加算Ⅴ（１）",T85="新加算Ⅴ（２）",T85="新加算Ⅴ（３）",T85="新加算ⅠⅤ（４）",T85="新加算Ⅴ（５）",T85="新加算Ⅴ（６）",T85="新加算Ⅴ（８）",T85="新加算Ⅴ（11）"),IF(AI85="○","","未入力"),"")</f>
        <v/>
      </c>
      <c r="AZ85" s="1222" t="str">
        <f>IF(OR(U85="新加算Ⅰ",U85="新加算Ⅱ",U85="新加算Ⅲ",U85="新加算Ⅳ",U85="新加算Ⅴ（１）",U85="新加算Ⅴ（２）",U85="新加算Ⅴ（３）",U85="新加算ⅠⅤ（４）",U85="新加算Ⅴ（５）",U85="新加算Ⅴ（６）",U85="新加算Ⅴ（８）",U85="新加算Ⅴ（11）"),IF(AJ85="○","","未入力"),"")</f>
        <v/>
      </c>
      <c r="BA85" s="1222" t="str">
        <f>IF(OR(U85="新加算Ⅴ（７）",U85="新加算Ⅴ（９）",U85="新加算Ⅴ（10）",U85="新加算Ⅴ（12）",U85="新加算Ⅴ（13）",U85="新加算Ⅴ（14）"),IF(AK85="○","","未入力"),"")</f>
        <v/>
      </c>
      <c r="BB85" s="1222" t="str">
        <f>IF(OR(U85="新加算Ⅰ",U85="新加算Ⅱ",U85="新加算Ⅲ",U85="新加算Ⅴ（１）",U85="新加算Ⅴ（３）",U85="新加算Ⅴ（８）"),IF(AL85="○","","未入力"),"")</f>
        <v/>
      </c>
      <c r="BC85" s="1472"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03" t="str">
        <f>IF(AND(T85&lt;&gt;"（参考）令和７年度の移行予定",OR(U85="新加算Ⅰ",U85="新加算Ⅴ（１）",U85="新加算Ⅴ（２）",U85="新加算Ⅴ（５）",U85="新加算Ⅴ（７）",U85="新加算Ⅴ（10）")),IF(AN85="","未入力",IF(AN85="いずれも取得していない","要件を満たさない","")),"")</f>
        <v/>
      </c>
      <c r="BE85" s="1303" t="str">
        <f>G82</f>
        <v/>
      </c>
      <c r="BF85" s="1303"/>
      <c r="BG85" s="1303"/>
    </row>
    <row r="86" spans="1:59" ht="30" customHeight="1">
      <c r="A86" s="1266">
        <v>19</v>
      </c>
      <c r="B86" s="1232" t="str">
        <f>IF(基本情報入力シート!C72="","",基本情報入力シート!C72)</f>
        <v/>
      </c>
      <c r="C86" s="1233"/>
      <c r="D86" s="1233"/>
      <c r="E86" s="1233"/>
      <c r="F86" s="1234"/>
      <c r="G86" s="1251" t="str">
        <f>IF(基本情報入力シート!M72="","",基本情報入力シート!M72)</f>
        <v/>
      </c>
      <c r="H86" s="1251" t="str">
        <f>IF(基本情報入力シート!R72="","",基本情報入力シート!R72)</f>
        <v/>
      </c>
      <c r="I86" s="1251" t="str">
        <f>IF(基本情報入力シート!W72="","",基本情報入力シート!W72)</f>
        <v/>
      </c>
      <c r="J86" s="1414" t="str">
        <f>IF(基本情報入力シート!X72="","",基本情報入力シート!X72)</f>
        <v/>
      </c>
      <c r="K86" s="1251" t="str">
        <f>IF(基本情報入力シート!Y72="","",基本情報入力シート!Y72)</f>
        <v/>
      </c>
      <c r="L86" s="1427" t="str">
        <f>IF(基本情報入力シート!AB72="","",基本情報入力シート!AB72)</f>
        <v/>
      </c>
      <c r="M86" s="550" t="str">
        <f>IF('別紙様式2-2（４・５月分）'!P68="","",'別紙様式2-2（４・５月分）'!P68)</f>
        <v/>
      </c>
      <c r="N86" s="1391" t="str">
        <f>IF(SUM('別紙様式2-2（４・５月分）'!Q68:Q70)=0,"",SUM('別紙様式2-2（４・５月分）'!Q68:Q70))</f>
        <v/>
      </c>
      <c r="O86" s="1395" t="str">
        <f>IFERROR(VLOOKUP('別紙様式2-2（４・５月分）'!AQ68,【参考】数式用!$AR$5:$AS$22,2,FALSE),"")</f>
        <v/>
      </c>
      <c r="P86" s="1396"/>
      <c r="Q86" s="1397"/>
      <c r="R86" s="1531" t="str">
        <f>IFERROR(VLOOKUP(K86,【参考】数式用!$A$5:$AB$37,MATCH(O86,【参考】数式用!$B$4:$AB$4,0)+1,0),"")</f>
        <v/>
      </c>
      <c r="S86" s="1403" t="s">
        <v>2102</v>
      </c>
      <c r="T86" s="1527" t="str">
        <f>IF('別紙様式2-3（６月以降分）'!T86="","",'別紙様式2-3（６月以降分）'!T86)</f>
        <v/>
      </c>
      <c r="U86" s="1529" t="str">
        <f>IFERROR(VLOOKUP(K86,【参考】数式用!$A$5:$AB$37,MATCH(T86,【参考】数式用!$B$4:$AB$4,0)+1,0),"")</f>
        <v/>
      </c>
      <c r="V86" s="1409" t="s">
        <v>15</v>
      </c>
      <c r="W86" s="1525">
        <f>'別紙様式2-3（６月以降分）'!W86</f>
        <v>6</v>
      </c>
      <c r="X86" s="1349" t="s">
        <v>10</v>
      </c>
      <c r="Y86" s="1525">
        <f>'別紙様式2-3（６月以降分）'!Y86</f>
        <v>6</v>
      </c>
      <c r="Z86" s="1349" t="s">
        <v>38</v>
      </c>
      <c r="AA86" s="1525">
        <f>'別紙様式2-3（６月以降分）'!AA86</f>
        <v>7</v>
      </c>
      <c r="AB86" s="1349" t="s">
        <v>10</v>
      </c>
      <c r="AC86" s="1525">
        <f>'別紙様式2-3（６月以降分）'!AC86</f>
        <v>3</v>
      </c>
      <c r="AD86" s="1349" t="s">
        <v>2020</v>
      </c>
      <c r="AE86" s="1349" t="s">
        <v>20</v>
      </c>
      <c r="AF86" s="1349">
        <f>IF(W86&gt;=1,(AA86*12+AC86)-(W86*12+Y86)+1,"")</f>
        <v>10</v>
      </c>
      <c r="AG86" s="1351" t="s">
        <v>33</v>
      </c>
      <c r="AH86" s="1517" t="str">
        <f>'別紙様式2-3（６月以降分）'!AH86</f>
        <v/>
      </c>
      <c r="AI86" s="1519" t="str">
        <f>'別紙様式2-3（６月以降分）'!AI86</f>
        <v/>
      </c>
      <c r="AJ86" s="1521">
        <f>'別紙様式2-3（６月以降分）'!AJ86</f>
        <v>0</v>
      </c>
      <c r="AK86" s="1523" t="str">
        <f>IF('別紙様式2-3（６月以降分）'!AK86="","",'別紙様式2-3（６月以降分）'!AK86)</f>
        <v/>
      </c>
      <c r="AL86" s="1512">
        <f>'別紙様式2-3（６月以降分）'!AL86</f>
        <v>0</v>
      </c>
      <c r="AM86" s="1514" t="str">
        <f>IF('別紙様式2-3（６月以降分）'!AM86="","",'別紙様式2-3（６月以降分）'!AM86)</f>
        <v/>
      </c>
      <c r="AN86" s="1333" t="str">
        <f>IF('別紙様式2-3（６月以降分）'!AN86="","",'別紙様式2-3（６月以降分）'!AN86)</f>
        <v/>
      </c>
      <c r="AO86" s="1331" t="str">
        <f>IF('別紙様式2-3（６月以降分）'!AO86="","",'別紙様式2-3（６月以降分）'!AO86)</f>
        <v/>
      </c>
      <c r="AP86" s="1333" t="str">
        <f>IF('別紙様式2-3（６月以降分）'!AP86="","",'別紙様式2-3（６月以降分）'!AP86)</f>
        <v/>
      </c>
      <c r="AQ86" s="1481" t="str">
        <f>IF('別紙様式2-3（６月以降分）'!AQ86="","",'別紙様式2-3（６月以降分）'!AQ86)</f>
        <v/>
      </c>
      <c r="AR86" s="1484" t="str">
        <f>IF('別紙様式2-3（６月以降分）'!AR86="","",'別紙様式2-3（６月以降分）'!AR86)</f>
        <v/>
      </c>
      <c r="AS86" s="570" t="str">
        <f t="shared" ref="AS86" si="119">IF(AU88="","",IF(U88&lt;U86,"！加算の要件上は問題ありませんが、令和６年度当初の新加算の加算率と比較して、移行後の加算率が下がる計画になっています。",""))</f>
        <v/>
      </c>
      <c r="AT86" s="577"/>
      <c r="AU86" s="1301"/>
      <c r="AV86" s="555" t="str">
        <f>IF('別紙様式2-2（４・５月分）'!N68="","",'別紙様式2-2（４・５月分）'!N68)</f>
        <v/>
      </c>
      <c r="AW86" s="1305" t="str">
        <f>IF(SUM('別紙様式2-2（４・５月分）'!O68:O70)=0,"",SUM('別紙様式2-2（４・５月分）'!O68:O70))</f>
        <v/>
      </c>
      <c r="AX86" s="1473" t="str">
        <f>IFERROR(VLOOKUP(K86,【参考】数式用!$AH$2:$AI$34,2,FALSE),"")</f>
        <v/>
      </c>
      <c r="AY86" s="493"/>
      <c r="BD86" s="340"/>
      <c r="BE86" s="1303" t="str">
        <f>G86</f>
        <v/>
      </c>
      <c r="BF86" s="1303"/>
      <c r="BG86" s="1303"/>
    </row>
    <row r="87" spans="1:59" ht="15" customHeight="1">
      <c r="A87" s="1267"/>
      <c r="B87" s="1235"/>
      <c r="C87" s="1236"/>
      <c r="D87" s="1236"/>
      <c r="E87" s="1236"/>
      <c r="F87" s="1237"/>
      <c r="G87" s="1252"/>
      <c r="H87" s="1252"/>
      <c r="I87" s="1252"/>
      <c r="J87" s="1415"/>
      <c r="K87" s="1252"/>
      <c r="L87" s="1421"/>
      <c r="M87" s="1371" t="str">
        <f>IF('別紙様式2-2（４・５月分）'!P69="","",'別紙様式2-2（４・５月分）'!P69)</f>
        <v/>
      </c>
      <c r="N87" s="1392"/>
      <c r="O87" s="1398"/>
      <c r="P87" s="1399"/>
      <c r="Q87" s="1400"/>
      <c r="R87" s="1532"/>
      <c r="S87" s="1404"/>
      <c r="T87" s="1528"/>
      <c r="U87" s="1530"/>
      <c r="V87" s="1410"/>
      <c r="W87" s="1526"/>
      <c r="X87" s="1350"/>
      <c r="Y87" s="1526"/>
      <c r="Z87" s="1350"/>
      <c r="AA87" s="1526"/>
      <c r="AB87" s="1350"/>
      <c r="AC87" s="1526"/>
      <c r="AD87" s="1350"/>
      <c r="AE87" s="1350"/>
      <c r="AF87" s="1350"/>
      <c r="AG87" s="1352"/>
      <c r="AH87" s="1518"/>
      <c r="AI87" s="1520"/>
      <c r="AJ87" s="1522"/>
      <c r="AK87" s="1524"/>
      <c r="AL87" s="1513"/>
      <c r="AM87" s="1515"/>
      <c r="AN87" s="1334"/>
      <c r="AO87" s="1516"/>
      <c r="AP87" s="1334"/>
      <c r="AQ87" s="1482"/>
      <c r="AR87" s="1485"/>
      <c r="AS87" s="1483" t="str">
        <f t="shared" ref="AS87" si="120">IF(AU88="","",IF(OR(AA88="",AA88&lt;&gt;7,AC88="",AC88&lt;&gt;3),"！算定期間の終わりが令和７年３月になっていません。年度内の廃止予定等がなければ、算定対象月を令和７年３月にしてください。",""))</f>
        <v/>
      </c>
      <c r="AT87" s="577"/>
      <c r="AU87" s="1303"/>
      <c r="AV87" s="1304" t="str">
        <f>IF('別紙様式2-2（４・５月分）'!N69="","",'別紙様式2-2（４・５月分）'!N69)</f>
        <v/>
      </c>
      <c r="AW87" s="1305"/>
      <c r="AX87" s="1474"/>
      <c r="AY87" s="430"/>
      <c r="BD87" s="340"/>
      <c r="BE87" s="1303" t="str">
        <f>G86</f>
        <v/>
      </c>
      <c r="BF87" s="1303"/>
      <c r="BG87" s="1303"/>
    </row>
    <row r="88" spans="1:59" ht="15" customHeight="1">
      <c r="A88" s="1295"/>
      <c r="B88" s="1235"/>
      <c r="C88" s="1236"/>
      <c r="D88" s="1236"/>
      <c r="E88" s="1236"/>
      <c r="F88" s="1237"/>
      <c r="G88" s="1252"/>
      <c r="H88" s="1252"/>
      <c r="I88" s="1252"/>
      <c r="J88" s="1415"/>
      <c r="K88" s="1252"/>
      <c r="L88" s="1421"/>
      <c r="M88" s="1372"/>
      <c r="N88" s="1393"/>
      <c r="O88" s="1373" t="s">
        <v>2025</v>
      </c>
      <c r="P88" s="1425" t="str">
        <f>IFERROR(VLOOKUP('別紙様式2-2（４・５月分）'!AQ68,【参考】数式用!$AR$5:$AT$22,3,FALSE),"")</f>
        <v/>
      </c>
      <c r="Q88" s="1377" t="s">
        <v>2036</v>
      </c>
      <c r="R88" s="1508" t="str">
        <f>IFERROR(VLOOKUP(K86,【参考】数式用!$A$5:$AB$37,MATCH(P88,【参考】数式用!$B$4:$AB$4,0)+1,0),"")</f>
        <v/>
      </c>
      <c r="S88" s="1381" t="s">
        <v>2109</v>
      </c>
      <c r="T88" s="1510"/>
      <c r="U88" s="1506" t="str">
        <f>IFERROR(VLOOKUP(K86,【参考】数式用!$A$5:$AB$37,MATCH(T88,【参考】数式用!$B$4:$AB$4,0)+1,0),"")</f>
        <v/>
      </c>
      <c r="V88" s="1387" t="s">
        <v>15</v>
      </c>
      <c r="W88" s="1504"/>
      <c r="X88" s="1363" t="s">
        <v>10</v>
      </c>
      <c r="Y88" s="1504"/>
      <c r="Z88" s="1363" t="s">
        <v>38</v>
      </c>
      <c r="AA88" s="1504"/>
      <c r="AB88" s="1363" t="s">
        <v>10</v>
      </c>
      <c r="AC88" s="1504"/>
      <c r="AD88" s="1363" t="s">
        <v>2020</v>
      </c>
      <c r="AE88" s="1363" t="s">
        <v>20</v>
      </c>
      <c r="AF88" s="1363" t="str">
        <f>IF(W88&gt;=1,(AA88*12+AC88)-(W88*12+Y88)+1,"")</f>
        <v/>
      </c>
      <c r="AG88" s="1359" t="s">
        <v>33</v>
      </c>
      <c r="AH88" s="1365" t="str">
        <f t="shared" ref="AH88" si="121">IFERROR(ROUNDDOWN(ROUND(L86*U88,0),0)*AF88,"")</f>
        <v/>
      </c>
      <c r="AI88" s="1498" t="str">
        <f t="shared" ref="AI88" si="122">IFERROR(ROUNDDOWN(ROUND((L86*(U88-AW86)),0),0)*AF88,"")</f>
        <v/>
      </c>
      <c r="AJ88" s="1369" t="str">
        <f>IFERROR(ROUNDDOWN(ROUNDDOWN(ROUND(L86*VLOOKUP(K86,【参考】数式用!$A$5:$AB$27,MATCH("新加算Ⅳ",【参考】数式用!$B$4:$AB$4,0)+1,0),0),0)*AF88*0.5,0),"")</f>
        <v/>
      </c>
      <c r="AK88" s="1500"/>
      <c r="AL88" s="1502" t="str">
        <f>IFERROR(IF('別紙様式2-2（４・５月分）'!P88="ベア加算","", IF(OR(T88="新加算Ⅰ",T88="新加算Ⅱ",T88="新加算Ⅲ",T88="新加算Ⅳ"),ROUNDDOWN(ROUND(L86*VLOOKUP(K86,【参考】数式用!$A$5:$I$27,MATCH("ベア加算",【参考】数式用!$B$4:$I$4,0)+1,0),0),0)*AF88,"")),"")</f>
        <v/>
      </c>
      <c r="AM88" s="1494"/>
      <c r="AN88" s="1475"/>
      <c r="AO88" s="1496"/>
      <c r="AP88" s="1475"/>
      <c r="AQ88" s="1477"/>
      <c r="AR88" s="1479"/>
      <c r="AS88" s="1483"/>
      <c r="AT88" s="451"/>
      <c r="AU88" s="1303" t="str">
        <f>IF(AND(AA86&lt;&gt;7,AC86&lt;&gt;3),"V列に色付け","")</f>
        <v/>
      </c>
      <c r="AV88" s="1304"/>
      <c r="AW88" s="1305"/>
      <c r="AX88" s="574"/>
      <c r="AY88" s="1222" t="str">
        <f>IF(AL88&lt;&gt;"",IF(AM88="○","入力済","未入力"),"")</f>
        <v/>
      </c>
      <c r="AZ88" s="1222"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2" t="str">
        <f>IF(OR(T88="新加算Ⅴ（７）",T88="新加算Ⅴ（９）",T88="新加算Ⅴ（10）",T88="新加算Ⅴ（12）",T88="新加算Ⅴ（13）",T88="新加算Ⅴ（14）"),IF(OR(AO88="○",AO88="令和６年度中に満たす"),"入力済","未入力"),"")</f>
        <v/>
      </c>
      <c r="BB88" s="1222" t="str">
        <f>IF(OR(T88="新加算Ⅰ",T88="新加算Ⅱ",T88="新加算Ⅲ",T88="新加算Ⅴ（１）",T88="新加算Ⅴ（３）",T88="新加算Ⅴ（８）"),IF(OR(AP88="○",AP88="令和６年度中に満たす"),"入力済","未入力"),"")</f>
        <v/>
      </c>
      <c r="BC88" s="1472" t="str">
        <f t="shared" ref="BC88" si="123">IF(OR(T88="新加算Ⅰ",T88="新加算Ⅱ",T88="新加算Ⅴ（１）",T88="新加算Ⅴ（２）",T88="新加算Ⅴ（３）",T88="新加算Ⅴ（４）",T88="新加算Ⅴ（５）",T88="新加算Ⅴ（６）",T88="新加算Ⅴ（７）",T88="新加算Ⅴ（９）",T88="新加算Ⅴ（10）",T88="新加算Ⅴ（12）"),IF(AQ88&lt;&gt;"",1,""),"")</f>
        <v/>
      </c>
      <c r="BD88" s="1303" t="str">
        <f>IF(OR(T88="新加算Ⅰ",T88="新加算Ⅴ（１）",T88="新加算Ⅴ（２）",T88="新加算Ⅴ（５）",T88="新加算Ⅴ（７）",T88="新加算Ⅴ（10）"),IF(AR88="","未入力","入力済"),"")</f>
        <v/>
      </c>
      <c r="BE88" s="1303" t="str">
        <f>G86</f>
        <v/>
      </c>
      <c r="BF88" s="1303"/>
      <c r="BG88" s="1303"/>
    </row>
    <row r="89" spans="1:59" ht="30" customHeight="1" thickBot="1">
      <c r="A89" s="1268"/>
      <c r="B89" s="1411"/>
      <c r="C89" s="1412"/>
      <c r="D89" s="1412"/>
      <c r="E89" s="1412"/>
      <c r="F89" s="1413"/>
      <c r="G89" s="1253"/>
      <c r="H89" s="1253"/>
      <c r="I89" s="1253"/>
      <c r="J89" s="1416"/>
      <c r="K89" s="1253"/>
      <c r="L89" s="1422"/>
      <c r="M89" s="553" t="str">
        <f>IF('別紙様式2-2（４・５月分）'!P70="","",'別紙様式2-2（４・５月分）'!P70)</f>
        <v/>
      </c>
      <c r="N89" s="1394"/>
      <c r="O89" s="1374"/>
      <c r="P89" s="1426"/>
      <c r="Q89" s="1378"/>
      <c r="R89" s="1509"/>
      <c r="S89" s="1382"/>
      <c r="T89" s="1511"/>
      <c r="U89" s="1507"/>
      <c r="V89" s="1388"/>
      <c r="W89" s="1505"/>
      <c r="X89" s="1364"/>
      <c r="Y89" s="1505"/>
      <c r="Z89" s="1364"/>
      <c r="AA89" s="1505"/>
      <c r="AB89" s="1364"/>
      <c r="AC89" s="1505"/>
      <c r="AD89" s="1364"/>
      <c r="AE89" s="1364"/>
      <c r="AF89" s="1364"/>
      <c r="AG89" s="1360"/>
      <c r="AH89" s="1366"/>
      <c r="AI89" s="1499"/>
      <c r="AJ89" s="1370"/>
      <c r="AK89" s="1501"/>
      <c r="AL89" s="1503"/>
      <c r="AM89" s="1495"/>
      <c r="AN89" s="1476"/>
      <c r="AO89" s="1497"/>
      <c r="AP89" s="1476"/>
      <c r="AQ89" s="1478"/>
      <c r="AR89" s="1480"/>
      <c r="AS89" s="575"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1"/>
      <c r="AU89" s="1303"/>
      <c r="AV89" s="555" t="str">
        <f>IF('別紙様式2-2（４・５月分）'!N70="","",'別紙様式2-2（４・５月分）'!N70)</f>
        <v/>
      </c>
      <c r="AW89" s="1305"/>
      <c r="AX89" s="576"/>
      <c r="AY89" s="1222" t="str">
        <f>IF(OR(T89="新加算Ⅰ",T89="新加算Ⅱ",T89="新加算Ⅲ",T89="新加算Ⅳ",T89="新加算Ⅴ（１）",T89="新加算Ⅴ（２）",T89="新加算Ⅴ（３）",T89="新加算ⅠⅤ（４）",T89="新加算Ⅴ（５）",T89="新加算Ⅴ（６）",T89="新加算Ⅴ（８）",T89="新加算Ⅴ（11）"),IF(AI89="○","","未入力"),"")</f>
        <v/>
      </c>
      <c r="AZ89" s="1222" t="str">
        <f>IF(OR(U89="新加算Ⅰ",U89="新加算Ⅱ",U89="新加算Ⅲ",U89="新加算Ⅳ",U89="新加算Ⅴ（１）",U89="新加算Ⅴ（２）",U89="新加算Ⅴ（３）",U89="新加算ⅠⅤ（４）",U89="新加算Ⅴ（５）",U89="新加算Ⅴ（６）",U89="新加算Ⅴ（８）",U89="新加算Ⅴ（11）"),IF(AJ89="○","","未入力"),"")</f>
        <v/>
      </c>
      <c r="BA89" s="1222" t="str">
        <f>IF(OR(U89="新加算Ⅴ（７）",U89="新加算Ⅴ（９）",U89="新加算Ⅴ（10）",U89="新加算Ⅴ（12）",U89="新加算Ⅴ（13）",U89="新加算Ⅴ（14）"),IF(AK89="○","","未入力"),"")</f>
        <v/>
      </c>
      <c r="BB89" s="1222" t="str">
        <f>IF(OR(U89="新加算Ⅰ",U89="新加算Ⅱ",U89="新加算Ⅲ",U89="新加算Ⅴ（１）",U89="新加算Ⅴ（３）",U89="新加算Ⅴ（８）"),IF(AL89="○","","未入力"),"")</f>
        <v/>
      </c>
      <c r="BC89" s="1472"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03" t="str">
        <f>IF(AND(T89&lt;&gt;"（参考）令和７年度の移行予定",OR(U89="新加算Ⅰ",U89="新加算Ⅴ（１）",U89="新加算Ⅴ（２）",U89="新加算Ⅴ（５）",U89="新加算Ⅴ（７）",U89="新加算Ⅴ（10）")),IF(AN89="","未入力",IF(AN89="いずれも取得していない","要件を満たさない","")),"")</f>
        <v/>
      </c>
      <c r="BE89" s="1303" t="str">
        <f>G86</f>
        <v/>
      </c>
      <c r="BF89" s="1303"/>
      <c r="BG89" s="1303"/>
    </row>
    <row r="90" spans="1:59" ht="30" customHeight="1">
      <c r="A90" s="1293">
        <v>20</v>
      </c>
      <c r="B90" s="1235" t="str">
        <f>IF(基本情報入力シート!C73="","",基本情報入力シート!C73)</f>
        <v/>
      </c>
      <c r="C90" s="1236"/>
      <c r="D90" s="1236"/>
      <c r="E90" s="1236"/>
      <c r="F90" s="1237"/>
      <c r="G90" s="1252" t="str">
        <f>IF(基本情報入力シート!M73="","",基本情報入力シート!M73)</f>
        <v/>
      </c>
      <c r="H90" s="1252" t="str">
        <f>IF(基本情報入力シート!R73="","",基本情報入力シート!R73)</f>
        <v/>
      </c>
      <c r="I90" s="1252" t="str">
        <f>IF(基本情報入力シート!W73="","",基本情報入力シート!W73)</f>
        <v/>
      </c>
      <c r="J90" s="1415" t="str">
        <f>IF(基本情報入力シート!X73="","",基本情報入力シート!X73)</f>
        <v/>
      </c>
      <c r="K90" s="1252" t="str">
        <f>IF(基本情報入力シート!Y73="","",基本情報入力シート!Y73)</f>
        <v/>
      </c>
      <c r="L90" s="1421" t="str">
        <f>IF(基本情報入力シート!AB73="","",基本情報入力シート!AB73)</f>
        <v/>
      </c>
      <c r="M90" s="550" t="str">
        <f>IF('別紙様式2-2（４・５月分）'!P71="","",'別紙様式2-2（４・５月分）'!P71)</f>
        <v/>
      </c>
      <c r="N90" s="1391" t="str">
        <f>IF(SUM('別紙様式2-2（４・５月分）'!Q71:Q73)=0,"",SUM('別紙様式2-2（４・５月分）'!Q71:Q73))</f>
        <v/>
      </c>
      <c r="O90" s="1395" t="str">
        <f>IFERROR(VLOOKUP('別紙様式2-2（４・５月分）'!AQ71,【参考】数式用!$AR$5:$AS$22,2,FALSE),"")</f>
        <v/>
      </c>
      <c r="P90" s="1396"/>
      <c r="Q90" s="1397"/>
      <c r="R90" s="1531" t="str">
        <f>IFERROR(VLOOKUP(K90,【参考】数式用!$A$5:$AB$37,MATCH(O90,【参考】数式用!$B$4:$AB$4,0)+1,0),"")</f>
        <v/>
      </c>
      <c r="S90" s="1403" t="s">
        <v>2102</v>
      </c>
      <c r="T90" s="1527" t="str">
        <f>IF('別紙様式2-3（６月以降分）'!T90="","",'別紙様式2-3（６月以降分）'!T90)</f>
        <v/>
      </c>
      <c r="U90" s="1529" t="str">
        <f>IFERROR(VLOOKUP(K90,【参考】数式用!$A$5:$AB$37,MATCH(T90,【参考】数式用!$B$4:$AB$4,0)+1,0),"")</f>
        <v/>
      </c>
      <c r="V90" s="1409" t="s">
        <v>15</v>
      </c>
      <c r="W90" s="1525">
        <f>'別紙様式2-3（６月以降分）'!W90</f>
        <v>6</v>
      </c>
      <c r="X90" s="1349" t="s">
        <v>10</v>
      </c>
      <c r="Y90" s="1525">
        <f>'別紙様式2-3（６月以降分）'!Y90</f>
        <v>6</v>
      </c>
      <c r="Z90" s="1349" t="s">
        <v>38</v>
      </c>
      <c r="AA90" s="1525">
        <f>'別紙様式2-3（６月以降分）'!AA90</f>
        <v>7</v>
      </c>
      <c r="AB90" s="1349" t="s">
        <v>10</v>
      </c>
      <c r="AC90" s="1525">
        <f>'別紙様式2-3（６月以降分）'!AC90</f>
        <v>3</v>
      </c>
      <c r="AD90" s="1349" t="s">
        <v>2020</v>
      </c>
      <c r="AE90" s="1349" t="s">
        <v>20</v>
      </c>
      <c r="AF90" s="1349">
        <f>IF(W90&gt;=1,(AA90*12+AC90)-(W90*12+Y90)+1,"")</f>
        <v>10</v>
      </c>
      <c r="AG90" s="1351" t="s">
        <v>33</v>
      </c>
      <c r="AH90" s="1517" t="str">
        <f>'別紙様式2-3（６月以降分）'!AH90</f>
        <v/>
      </c>
      <c r="AI90" s="1519" t="str">
        <f>'別紙様式2-3（６月以降分）'!AI90</f>
        <v/>
      </c>
      <c r="AJ90" s="1521">
        <f>'別紙様式2-3（６月以降分）'!AJ90</f>
        <v>0</v>
      </c>
      <c r="AK90" s="1523" t="str">
        <f>IF('別紙様式2-3（６月以降分）'!AK90="","",'別紙様式2-3（６月以降分）'!AK90)</f>
        <v/>
      </c>
      <c r="AL90" s="1512">
        <f>'別紙様式2-3（６月以降分）'!AL90</f>
        <v>0</v>
      </c>
      <c r="AM90" s="1514" t="str">
        <f>IF('別紙様式2-3（６月以降分）'!AM90="","",'別紙様式2-3（６月以降分）'!AM90)</f>
        <v/>
      </c>
      <c r="AN90" s="1333" t="str">
        <f>IF('別紙様式2-3（６月以降分）'!AN90="","",'別紙様式2-3（６月以降分）'!AN90)</f>
        <v/>
      </c>
      <c r="AO90" s="1331" t="str">
        <f>IF('別紙様式2-3（６月以降分）'!AO90="","",'別紙様式2-3（６月以降分）'!AO90)</f>
        <v/>
      </c>
      <c r="AP90" s="1333" t="str">
        <f>IF('別紙様式2-3（６月以降分）'!AP90="","",'別紙様式2-3（６月以降分）'!AP90)</f>
        <v/>
      </c>
      <c r="AQ90" s="1481" t="str">
        <f>IF('別紙様式2-3（６月以降分）'!AQ90="","",'別紙様式2-3（６月以降分）'!AQ90)</f>
        <v/>
      </c>
      <c r="AR90" s="1484" t="str">
        <f>IF('別紙様式2-3（６月以降分）'!AR90="","",'別紙様式2-3（６月以降分）'!AR90)</f>
        <v/>
      </c>
      <c r="AS90" s="570" t="str">
        <f t="shared" ref="AS90" si="126">IF(AU92="","",IF(U92&lt;U90,"！加算の要件上は問題ありませんが、令和６年度当初の新加算の加算率と比較して、移行後の加算率が下がる計画になっています。",""))</f>
        <v/>
      </c>
      <c r="AT90" s="577"/>
      <c r="AU90" s="1301"/>
      <c r="AV90" s="555" t="str">
        <f>IF('別紙様式2-2（４・５月分）'!N71="","",'別紙様式2-2（４・５月分）'!N71)</f>
        <v/>
      </c>
      <c r="AW90" s="1305" t="str">
        <f>IF(SUM('別紙様式2-2（４・５月分）'!O71:O73)=0,"",SUM('別紙様式2-2（４・５月分）'!O71:O73))</f>
        <v/>
      </c>
      <c r="AX90" s="1473" t="str">
        <f>IFERROR(VLOOKUP(K90,【参考】数式用!$AH$2:$AI$34,2,FALSE),"")</f>
        <v/>
      </c>
      <c r="AY90" s="493"/>
      <c r="BD90" s="340"/>
      <c r="BE90" s="1303" t="str">
        <f>G90</f>
        <v/>
      </c>
      <c r="BF90" s="1303"/>
      <c r="BG90" s="1303"/>
    </row>
    <row r="91" spans="1:59" ht="15" customHeight="1">
      <c r="A91" s="1267"/>
      <c r="B91" s="1235"/>
      <c r="C91" s="1236"/>
      <c r="D91" s="1236"/>
      <c r="E91" s="1236"/>
      <c r="F91" s="1237"/>
      <c r="G91" s="1252"/>
      <c r="H91" s="1252"/>
      <c r="I91" s="1252"/>
      <c r="J91" s="1415"/>
      <c r="K91" s="1252"/>
      <c r="L91" s="1421"/>
      <c r="M91" s="1371" t="str">
        <f>IF('別紙様式2-2（４・５月分）'!P72="","",'別紙様式2-2（４・５月分）'!P72)</f>
        <v/>
      </c>
      <c r="N91" s="1392"/>
      <c r="O91" s="1398"/>
      <c r="P91" s="1399"/>
      <c r="Q91" s="1400"/>
      <c r="R91" s="1532"/>
      <c r="S91" s="1404"/>
      <c r="T91" s="1528"/>
      <c r="U91" s="1530"/>
      <c r="V91" s="1410"/>
      <c r="W91" s="1526"/>
      <c r="X91" s="1350"/>
      <c r="Y91" s="1526"/>
      <c r="Z91" s="1350"/>
      <c r="AA91" s="1526"/>
      <c r="AB91" s="1350"/>
      <c r="AC91" s="1526"/>
      <c r="AD91" s="1350"/>
      <c r="AE91" s="1350"/>
      <c r="AF91" s="1350"/>
      <c r="AG91" s="1352"/>
      <c r="AH91" s="1518"/>
      <c r="AI91" s="1520"/>
      <c r="AJ91" s="1522"/>
      <c r="AK91" s="1524"/>
      <c r="AL91" s="1513"/>
      <c r="AM91" s="1515"/>
      <c r="AN91" s="1334"/>
      <c r="AO91" s="1516"/>
      <c r="AP91" s="1334"/>
      <c r="AQ91" s="1482"/>
      <c r="AR91" s="1485"/>
      <c r="AS91" s="1483" t="str">
        <f t="shared" ref="AS91" si="127">IF(AU92="","",IF(OR(AA92="",AA92&lt;&gt;7,AC92="",AC92&lt;&gt;3),"！算定期間の終わりが令和７年３月になっていません。年度内の廃止予定等がなければ、算定対象月を令和７年３月にしてください。",""))</f>
        <v/>
      </c>
      <c r="AT91" s="577"/>
      <c r="AU91" s="1303"/>
      <c r="AV91" s="1304" t="str">
        <f>IF('別紙様式2-2（４・５月分）'!N72="","",'別紙様式2-2（４・５月分）'!N72)</f>
        <v/>
      </c>
      <c r="AW91" s="1305"/>
      <c r="AX91" s="1474"/>
      <c r="AY91" s="430"/>
      <c r="BD91" s="340"/>
      <c r="BE91" s="1303" t="str">
        <f>G90</f>
        <v/>
      </c>
      <c r="BF91" s="1303"/>
      <c r="BG91" s="1303"/>
    </row>
    <row r="92" spans="1:59" ht="15" customHeight="1">
      <c r="A92" s="1295"/>
      <c r="B92" s="1235"/>
      <c r="C92" s="1236"/>
      <c r="D92" s="1236"/>
      <c r="E92" s="1236"/>
      <c r="F92" s="1237"/>
      <c r="G92" s="1252"/>
      <c r="H92" s="1252"/>
      <c r="I92" s="1252"/>
      <c r="J92" s="1415"/>
      <c r="K92" s="1252"/>
      <c r="L92" s="1421"/>
      <c r="M92" s="1372"/>
      <c r="N92" s="1393"/>
      <c r="O92" s="1373" t="s">
        <v>2025</v>
      </c>
      <c r="P92" s="1425" t="str">
        <f>IFERROR(VLOOKUP('別紙様式2-2（４・５月分）'!AQ71,【参考】数式用!$AR$5:$AT$22,3,FALSE),"")</f>
        <v/>
      </c>
      <c r="Q92" s="1377" t="s">
        <v>2036</v>
      </c>
      <c r="R92" s="1508" t="str">
        <f>IFERROR(VLOOKUP(K90,【参考】数式用!$A$5:$AB$37,MATCH(P92,【参考】数式用!$B$4:$AB$4,0)+1,0),"")</f>
        <v/>
      </c>
      <c r="S92" s="1381" t="s">
        <v>2109</v>
      </c>
      <c r="T92" s="1510"/>
      <c r="U92" s="1506" t="str">
        <f>IFERROR(VLOOKUP(K90,【参考】数式用!$A$5:$AB$37,MATCH(T92,【参考】数式用!$B$4:$AB$4,0)+1,0),"")</f>
        <v/>
      </c>
      <c r="V92" s="1387" t="s">
        <v>15</v>
      </c>
      <c r="W92" s="1504"/>
      <c r="X92" s="1363" t="s">
        <v>10</v>
      </c>
      <c r="Y92" s="1504"/>
      <c r="Z92" s="1363" t="s">
        <v>38</v>
      </c>
      <c r="AA92" s="1504"/>
      <c r="AB92" s="1363" t="s">
        <v>10</v>
      </c>
      <c r="AC92" s="1504"/>
      <c r="AD92" s="1363" t="s">
        <v>2020</v>
      </c>
      <c r="AE92" s="1363" t="s">
        <v>20</v>
      </c>
      <c r="AF92" s="1363" t="str">
        <f>IF(W92&gt;=1,(AA92*12+AC92)-(W92*12+Y92)+1,"")</f>
        <v/>
      </c>
      <c r="AG92" s="1359" t="s">
        <v>33</v>
      </c>
      <c r="AH92" s="1365" t="str">
        <f t="shared" ref="AH92" si="128">IFERROR(ROUNDDOWN(ROUND(L90*U92,0),0)*AF92,"")</f>
        <v/>
      </c>
      <c r="AI92" s="1498" t="str">
        <f t="shared" ref="AI92" si="129">IFERROR(ROUNDDOWN(ROUND((L90*(U92-AW90)),0),0)*AF92,"")</f>
        <v/>
      </c>
      <c r="AJ92" s="1369" t="str">
        <f>IFERROR(ROUNDDOWN(ROUNDDOWN(ROUND(L90*VLOOKUP(K90,【参考】数式用!$A$5:$AB$27,MATCH("新加算Ⅳ",【参考】数式用!$B$4:$AB$4,0)+1,0),0),0)*AF92*0.5,0),"")</f>
        <v/>
      </c>
      <c r="AK92" s="1500"/>
      <c r="AL92" s="1502" t="str">
        <f>IFERROR(IF('別紙様式2-2（４・５月分）'!P92="ベア加算","", IF(OR(T92="新加算Ⅰ",T92="新加算Ⅱ",T92="新加算Ⅲ",T92="新加算Ⅳ"),ROUNDDOWN(ROUND(L90*VLOOKUP(K90,【参考】数式用!$A$5:$I$27,MATCH("ベア加算",【参考】数式用!$B$4:$I$4,0)+1,0),0),0)*AF92,"")),"")</f>
        <v/>
      </c>
      <c r="AM92" s="1494"/>
      <c r="AN92" s="1475"/>
      <c r="AO92" s="1496"/>
      <c r="AP92" s="1475"/>
      <c r="AQ92" s="1477"/>
      <c r="AR92" s="1479"/>
      <c r="AS92" s="1483"/>
      <c r="AT92" s="451"/>
      <c r="AU92" s="1303" t="str">
        <f>IF(AND(AA90&lt;&gt;7,AC90&lt;&gt;3),"V列に色付け","")</f>
        <v/>
      </c>
      <c r="AV92" s="1304"/>
      <c r="AW92" s="1305"/>
      <c r="AX92" s="574"/>
      <c r="AY92" s="1222" t="str">
        <f>IF(AL92&lt;&gt;"",IF(AM92="○","入力済","未入力"),"")</f>
        <v/>
      </c>
      <c r="AZ92" s="1222"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2" t="str">
        <f>IF(OR(T92="新加算Ⅴ（７）",T92="新加算Ⅴ（９）",T92="新加算Ⅴ（10）",T92="新加算Ⅴ（12）",T92="新加算Ⅴ（13）",T92="新加算Ⅴ（14）"),IF(OR(AO92="○",AO92="令和６年度中に満たす"),"入力済","未入力"),"")</f>
        <v/>
      </c>
      <c r="BB92" s="1222" t="str">
        <f>IF(OR(T92="新加算Ⅰ",T92="新加算Ⅱ",T92="新加算Ⅲ",T92="新加算Ⅴ（１）",T92="新加算Ⅴ（３）",T92="新加算Ⅴ（８）"),IF(OR(AP92="○",AP92="令和６年度中に満たす"),"入力済","未入力"),"")</f>
        <v/>
      </c>
      <c r="BC92" s="1472" t="str">
        <f t="shared" ref="BC92" si="130">IF(OR(T92="新加算Ⅰ",T92="新加算Ⅱ",T92="新加算Ⅴ（１）",T92="新加算Ⅴ（２）",T92="新加算Ⅴ（３）",T92="新加算Ⅴ（４）",T92="新加算Ⅴ（５）",T92="新加算Ⅴ（６）",T92="新加算Ⅴ（７）",T92="新加算Ⅴ（９）",T92="新加算Ⅴ（10）",T92="新加算Ⅴ（12）"),IF(AQ92&lt;&gt;"",1,""),"")</f>
        <v/>
      </c>
      <c r="BD92" s="1303" t="str">
        <f>IF(OR(T92="新加算Ⅰ",T92="新加算Ⅴ（１）",T92="新加算Ⅴ（２）",T92="新加算Ⅴ（５）",T92="新加算Ⅴ（７）",T92="新加算Ⅴ（10）"),IF(AR92="","未入力","入力済"),"")</f>
        <v/>
      </c>
      <c r="BE92" s="1303" t="str">
        <f>G90</f>
        <v/>
      </c>
      <c r="BF92" s="1303"/>
      <c r="BG92" s="1303"/>
    </row>
    <row r="93" spans="1:59" ht="30" customHeight="1" thickBot="1">
      <c r="A93" s="1268"/>
      <c r="B93" s="1411"/>
      <c r="C93" s="1412"/>
      <c r="D93" s="1412"/>
      <c r="E93" s="1412"/>
      <c r="F93" s="1413"/>
      <c r="G93" s="1253"/>
      <c r="H93" s="1253"/>
      <c r="I93" s="1253"/>
      <c r="J93" s="1416"/>
      <c r="K93" s="1253"/>
      <c r="L93" s="1422"/>
      <c r="M93" s="553" t="str">
        <f>IF('別紙様式2-2（４・５月分）'!P73="","",'別紙様式2-2（４・５月分）'!P73)</f>
        <v/>
      </c>
      <c r="N93" s="1394"/>
      <c r="O93" s="1374"/>
      <c r="P93" s="1426"/>
      <c r="Q93" s="1378"/>
      <c r="R93" s="1509"/>
      <c r="S93" s="1382"/>
      <c r="T93" s="1511"/>
      <c r="U93" s="1507"/>
      <c r="V93" s="1388"/>
      <c r="W93" s="1505"/>
      <c r="X93" s="1364"/>
      <c r="Y93" s="1505"/>
      <c r="Z93" s="1364"/>
      <c r="AA93" s="1505"/>
      <c r="AB93" s="1364"/>
      <c r="AC93" s="1505"/>
      <c r="AD93" s="1364"/>
      <c r="AE93" s="1364"/>
      <c r="AF93" s="1364"/>
      <c r="AG93" s="1360"/>
      <c r="AH93" s="1366"/>
      <c r="AI93" s="1499"/>
      <c r="AJ93" s="1370"/>
      <c r="AK93" s="1501"/>
      <c r="AL93" s="1503"/>
      <c r="AM93" s="1495"/>
      <c r="AN93" s="1476"/>
      <c r="AO93" s="1497"/>
      <c r="AP93" s="1476"/>
      <c r="AQ93" s="1478"/>
      <c r="AR93" s="1480"/>
      <c r="AS93" s="575"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1"/>
      <c r="AU93" s="1303"/>
      <c r="AV93" s="555" t="str">
        <f>IF('別紙様式2-2（４・５月分）'!N73="","",'別紙様式2-2（４・５月分）'!N73)</f>
        <v/>
      </c>
      <c r="AW93" s="1305"/>
      <c r="AX93" s="576"/>
      <c r="AY93" s="1222" t="str">
        <f>IF(OR(T93="新加算Ⅰ",T93="新加算Ⅱ",T93="新加算Ⅲ",T93="新加算Ⅳ",T93="新加算Ⅴ（１）",T93="新加算Ⅴ（２）",T93="新加算Ⅴ（３）",T93="新加算ⅠⅤ（４）",T93="新加算Ⅴ（５）",T93="新加算Ⅴ（６）",T93="新加算Ⅴ（８）",T93="新加算Ⅴ（11）"),IF(AI93="○","","未入力"),"")</f>
        <v/>
      </c>
      <c r="AZ93" s="1222" t="str">
        <f>IF(OR(U93="新加算Ⅰ",U93="新加算Ⅱ",U93="新加算Ⅲ",U93="新加算Ⅳ",U93="新加算Ⅴ（１）",U93="新加算Ⅴ（２）",U93="新加算Ⅴ（３）",U93="新加算ⅠⅤ（４）",U93="新加算Ⅴ（５）",U93="新加算Ⅴ（６）",U93="新加算Ⅴ（８）",U93="新加算Ⅴ（11）"),IF(AJ93="○","","未入力"),"")</f>
        <v/>
      </c>
      <c r="BA93" s="1222" t="str">
        <f>IF(OR(U93="新加算Ⅴ（７）",U93="新加算Ⅴ（９）",U93="新加算Ⅴ（10）",U93="新加算Ⅴ（12）",U93="新加算Ⅴ（13）",U93="新加算Ⅴ（14）"),IF(AK93="○","","未入力"),"")</f>
        <v/>
      </c>
      <c r="BB93" s="1222" t="str">
        <f>IF(OR(U93="新加算Ⅰ",U93="新加算Ⅱ",U93="新加算Ⅲ",U93="新加算Ⅴ（１）",U93="新加算Ⅴ（３）",U93="新加算Ⅴ（８）"),IF(AL93="○","","未入力"),"")</f>
        <v/>
      </c>
      <c r="BC93" s="1472"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03" t="str">
        <f>IF(AND(T93&lt;&gt;"（参考）令和７年度の移行予定",OR(U93="新加算Ⅰ",U93="新加算Ⅴ（１）",U93="新加算Ⅴ（２）",U93="新加算Ⅴ（５）",U93="新加算Ⅴ（７）",U93="新加算Ⅴ（10）")),IF(AN93="","未入力",IF(AN93="いずれも取得していない","要件を満たさない","")),"")</f>
        <v/>
      </c>
      <c r="BE93" s="1303" t="str">
        <f>G90</f>
        <v/>
      </c>
      <c r="BF93" s="1303"/>
      <c r="BG93" s="1303"/>
    </row>
    <row r="94" spans="1:59" ht="30" customHeight="1">
      <c r="A94" s="1266">
        <v>21</v>
      </c>
      <c r="B94" s="1232" t="str">
        <f>IF(基本情報入力シート!C74="","",基本情報入力シート!C74)</f>
        <v/>
      </c>
      <c r="C94" s="1233"/>
      <c r="D94" s="1233"/>
      <c r="E94" s="1233"/>
      <c r="F94" s="1234"/>
      <c r="G94" s="1251" t="str">
        <f>IF(基本情報入力シート!M74="","",基本情報入力シート!M74)</f>
        <v/>
      </c>
      <c r="H94" s="1251" t="str">
        <f>IF(基本情報入力シート!R74="","",基本情報入力シート!R74)</f>
        <v/>
      </c>
      <c r="I94" s="1251" t="str">
        <f>IF(基本情報入力シート!W74="","",基本情報入力シート!W74)</f>
        <v/>
      </c>
      <c r="J94" s="1414" t="str">
        <f>IF(基本情報入力シート!X74="","",基本情報入力シート!X74)</f>
        <v/>
      </c>
      <c r="K94" s="1251" t="str">
        <f>IF(基本情報入力シート!Y74="","",基本情報入力シート!Y74)</f>
        <v/>
      </c>
      <c r="L94" s="1427" t="str">
        <f>IF(基本情報入力シート!AB74="","",基本情報入力シート!AB74)</f>
        <v/>
      </c>
      <c r="M94" s="550" t="str">
        <f>IF('別紙様式2-2（４・５月分）'!P74="","",'別紙様式2-2（４・５月分）'!P74)</f>
        <v/>
      </c>
      <c r="N94" s="1391" t="str">
        <f>IF(SUM('別紙様式2-2（４・５月分）'!Q74:Q76)=0,"",SUM('別紙様式2-2（４・５月分）'!Q74:Q76))</f>
        <v/>
      </c>
      <c r="O94" s="1395" t="str">
        <f>IFERROR(VLOOKUP('別紙様式2-2（４・５月分）'!AQ74,【参考】数式用!$AR$5:$AS$22,2,FALSE),"")</f>
        <v/>
      </c>
      <c r="P94" s="1396"/>
      <c r="Q94" s="1397"/>
      <c r="R94" s="1531" t="str">
        <f>IFERROR(VLOOKUP(K94,【参考】数式用!$A$5:$AB$37,MATCH(O94,【参考】数式用!$B$4:$AB$4,0)+1,0),"")</f>
        <v/>
      </c>
      <c r="S94" s="1403" t="s">
        <v>2102</v>
      </c>
      <c r="T94" s="1527" t="str">
        <f>IF('別紙様式2-3（６月以降分）'!T94="","",'別紙様式2-3（６月以降分）'!T94)</f>
        <v/>
      </c>
      <c r="U94" s="1529" t="str">
        <f>IFERROR(VLOOKUP(K94,【参考】数式用!$A$5:$AB$37,MATCH(T94,【参考】数式用!$B$4:$AB$4,0)+1,0),"")</f>
        <v/>
      </c>
      <c r="V94" s="1409" t="s">
        <v>15</v>
      </c>
      <c r="W94" s="1525">
        <f>'別紙様式2-3（６月以降分）'!W94</f>
        <v>6</v>
      </c>
      <c r="X94" s="1349" t="s">
        <v>10</v>
      </c>
      <c r="Y94" s="1525">
        <f>'別紙様式2-3（６月以降分）'!Y94</f>
        <v>6</v>
      </c>
      <c r="Z94" s="1349" t="s">
        <v>38</v>
      </c>
      <c r="AA94" s="1525">
        <f>'別紙様式2-3（６月以降分）'!AA94</f>
        <v>7</v>
      </c>
      <c r="AB94" s="1349" t="s">
        <v>10</v>
      </c>
      <c r="AC94" s="1525">
        <f>'別紙様式2-3（６月以降分）'!AC94</f>
        <v>3</v>
      </c>
      <c r="AD94" s="1349" t="s">
        <v>2020</v>
      </c>
      <c r="AE94" s="1349" t="s">
        <v>20</v>
      </c>
      <c r="AF94" s="1349">
        <f>IF(W94&gt;=1,(AA94*12+AC94)-(W94*12+Y94)+1,"")</f>
        <v>10</v>
      </c>
      <c r="AG94" s="1351" t="s">
        <v>33</v>
      </c>
      <c r="AH94" s="1517" t="str">
        <f>'別紙様式2-3（６月以降分）'!AH94</f>
        <v/>
      </c>
      <c r="AI94" s="1519" t="str">
        <f>'別紙様式2-3（６月以降分）'!AI94</f>
        <v/>
      </c>
      <c r="AJ94" s="1521">
        <f>'別紙様式2-3（６月以降分）'!AJ94</f>
        <v>0</v>
      </c>
      <c r="AK94" s="1523" t="str">
        <f>IF('別紙様式2-3（６月以降分）'!AK94="","",'別紙様式2-3（６月以降分）'!AK94)</f>
        <v/>
      </c>
      <c r="AL94" s="1512">
        <f>'別紙様式2-3（６月以降分）'!AL94</f>
        <v>0</v>
      </c>
      <c r="AM94" s="1514" t="str">
        <f>IF('別紙様式2-3（６月以降分）'!AM94="","",'別紙様式2-3（６月以降分）'!AM94)</f>
        <v/>
      </c>
      <c r="AN94" s="1333" t="str">
        <f>IF('別紙様式2-3（６月以降分）'!AN94="","",'別紙様式2-3（６月以降分）'!AN94)</f>
        <v/>
      </c>
      <c r="AO94" s="1331" t="str">
        <f>IF('別紙様式2-3（６月以降分）'!AO94="","",'別紙様式2-3（６月以降分）'!AO94)</f>
        <v/>
      </c>
      <c r="AP94" s="1333" t="str">
        <f>IF('別紙様式2-3（６月以降分）'!AP94="","",'別紙様式2-3（６月以降分）'!AP94)</f>
        <v/>
      </c>
      <c r="AQ94" s="1481" t="str">
        <f>IF('別紙様式2-3（６月以降分）'!AQ94="","",'別紙様式2-3（６月以降分）'!AQ94)</f>
        <v/>
      </c>
      <c r="AR94" s="1484" t="str">
        <f>IF('別紙様式2-3（６月以降分）'!AR94="","",'別紙様式2-3（６月以降分）'!AR94)</f>
        <v/>
      </c>
      <c r="AS94" s="570" t="str">
        <f t="shared" ref="AS94" si="133">IF(AU96="","",IF(U96&lt;U94,"！加算の要件上は問題ありませんが、令和６年度当初の新加算の加算率と比較して、移行後の加算率が下がる計画になっています。",""))</f>
        <v/>
      </c>
      <c r="AT94" s="577"/>
      <c r="AU94" s="1301"/>
      <c r="AV94" s="555" t="str">
        <f>IF('別紙様式2-2（４・５月分）'!N74="","",'別紙様式2-2（４・５月分）'!N74)</f>
        <v/>
      </c>
      <c r="AW94" s="1305" t="str">
        <f>IF(SUM('別紙様式2-2（４・５月分）'!O74:O76)=0,"",SUM('別紙様式2-2（４・５月分）'!O74:O76))</f>
        <v/>
      </c>
      <c r="AX94" s="1473" t="str">
        <f>IFERROR(VLOOKUP(K94,【参考】数式用!$AH$2:$AI$34,2,FALSE),"")</f>
        <v/>
      </c>
      <c r="AY94" s="493"/>
      <c r="BD94" s="340"/>
      <c r="BE94" s="1303" t="str">
        <f>G94</f>
        <v/>
      </c>
      <c r="BF94" s="1303"/>
      <c r="BG94" s="1303"/>
    </row>
    <row r="95" spans="1:59" ht="15" customHeight="1">
      <c r="A95" s="1267"/>
      <c r="B95" s="1235"/>
      <c r="C95" s="1236"/>
      <c r="D95" s="1236"/>
      <c r="E95" s="1236"/>
      <c r="F95" s="1237"/>
      <c r="G95" s="1252"/>
      <c r="H95" s="1252"/>
      <c r="I95" s="1252"/>
      <c r="J95" s="1415"/>
      <c r="K95" s="1252"/>
      <c r="L95" s="1421"/>
      <c r="M95" s="1371" t="str">
        <f>IF('別紙様式2-2（４・５月分）'!P75="","",'別紙様式2-2（４・５月分）'!P75)</f>
        <v/>
      </c>
      <c r="N95" s="1392"/>
      <c r="O95" s="1398"/>
      <c r="P95" s="1399"/>
      <c r="Q95" s="1400"/>
      <c r="R95" s="1532"/>
      <c r="S95" s="1404"/>
      <c r="T95" s="1528"/>
      <c r="U95" s="1530"/>
      <c r="V95" s="1410"/>
      <c r="W95" s="1526"/>
      <c r="X95" s="1350"/>
      <c r="Y95" s="1526"/>
      <c r="Z95" s="1350"/>
      <c r="AA95" s="1526"/>
      <c r="AB95" s="1350"/>
      <c r="AC95" s="1526"/>
      <c r="AD95" s="1350"/>
      <c r="AE95" s="1350"/>
      <c r="AF95" s="1350"/>
      <c r="AG95" s="1352"/>
      <c r="AH95" s="1518"/>
      <c r="AI95" s="1520"/>
      <c r="AJ95" s="1522"/>
      <c r="AK95" s="1524"/>
      <c r="AL95" s="1513"/>
      <c r="AM95" s="1515"/>
      <c r="AN95" s="1334"/>
      <c r="AO95" s="1516"/>
      <c r="AP95" s="1334"/>
      <c r="AQ95" s="1482"/>
      <c r="AR95" s="1485"/>
      <c r="AS95" s="1483" t="str">
        <f t="shared" ref="AS95" si="134">IF(AU96="","",IF(OR(AA96="",AA96&lt;&gt;7,AC96="",AC96&lt;&gt;3),"！算定期間の終わりが令和７年３月になっていません。年度内の廃止予定等がなければ、算定対象月を令和７年３月にしてください。",""))</f>
        <v/>
      </c>
      <c r="AT95" s="577"/>
      <c r="AU95" s="1303"/>
      <c r="AV95" s="1304" t="str">
        <f>IF('別紙様式2-2（４・５月分）'!N75="","",'別紙様式2-2（４・５月分）'!N75)</f>
        <v/>
      </c>
      <c r="AW95" s="1305"/>
      <c r="AX95" s="1474"/>
      <c r="AY95" s="430"/>
      <c r="BD95" s="340"/>
      <c r="BE95" s="1303" t="str">
        <f>G94</f>
        <v/>
      </c>
      <c r="BF95" s="1303"/>
      <c r="BG95" s="1303"/>
    </row>
    <row r="96" spans="1:59" ht="15" customHeight="1">
      <c r="A96" s="1295"/>
      <c r="B96" s="1235"/>
      <c r="C96" s="1236"/>
      <c r="D96" s="1236"/>
      <c r="E96" s="1236"/>
      <c r="F96" s="1237"/>
      <c r="G96" s="1252"/>
      <c r="H96" s="1252"/>
      <c r="I96" s="1252"/>
      <c r="J96" s="1415"/>
      <c r="K96" s="1252"/>
      <c r="L96" s="1421"/>
      <c r="M96" s="1372"/>
      <c r="N96" s="1393"/>
      <c r="O96" s="1373" t="s">
        <v>2025</v>
      </c>
      <c r="P96" s="1425" t="str">
        <f>IFERROR(VLOOKUP('別紙様式2-2（４・５月分）'!AQ74,【参考】数式用!$AR$5:$AT$22,3,FALSE),"")</f>
        <v/>
      </c>
      <c r="Q96" s="1377" t="s">
        <v>2036</v>
      </c>
      <c r="R96" s="1508" t="str">
        <f>IFERROR(VLOOKUP(K94,【参考】数式用!$A$5:$AB$37,MATCH(P96,【参考】数式用!$B$4:$AB$4,0)+1,0),"")</f>
        <v/>
      </c>
      <c r="S96" s="1381" t="s">
        <v>2109</v>
      </c>
      <c r="T96" s="1510"/>
      <c r="U96" s="1506" t="str">
        <f>IFERROR(VLOOKUP(K94,【参考】数式用!$A$5:$AB$37,MATCH(T96,【参考】数式用!$B$4:$AB$4,0)+1,0),"")</f>
        <v/>
      </c>
      <c r="V96" s="1387" t="s">
        <v>15</v>
      </c>
      <c r="W96" s="1504"/>
      <c r="X96" s="1363" t="s">
        <v>10</v>
      </c>
      <c r="Y96" s="1504"/>
      <c r="Z96" s="1363" t="s">
        <v>38</v>
      </c>
      <c r="AA96" s="1504"/>
      <c r="AB96" s="1363" t="s">
        <v>10</v>
      </c>
      <c r="AC96" s="1504"/>
      <c r="AD96" s="1363" t="s">
        <v>2020</v>
      </c>
      <c r="AE96" s="1363" t="s">
        <v>20</v>
      </c>
      <c r="AF96" s="1363" t="str">
        <f>IF(W96&gt;=1,(AA96*12+AC96)-(W96*12+Y96)+1,"")</f>
        <v/>
      </c>
      <c r="AG96" s="1359" t="s">
        <v>33</v>
      </c>
      <c r="AH96" s="1365" t="str">
        <f t="shared" ref="AH96" si="135">IFERROR(ROUNDDOWN(ROUND(L94*U96,0),0)*AF96,"")</f>
        <v/>
      </c>
      <c r="AI96" s="1498" t="str">
        <f t="shared" ref="AI96" si="136">IFERROR(ROUNDDOWN(ROUND((L94*(U96-AW94)),0),0)*AF96,"")</f>
        <v/>
      </c>
      <c r="AJ96" s="1369" t="str">
        <f>IFERROR(ROUNDDOWN(ROUNDDOWN(ROUND(L94*VLOOKUP(K94,【参考】数式用!$A$5:$AB$27,MATCH("新加算Ⅳ",【参考】数式用!$B$4:$AB$4,0)+1,0),0),0)*AF96*0.5,0),"")</f>
        <v/>
      </c>
      <c r="AK96" s="1500"/>
      <c r="AL96" s="1502" t="str">
        <f>IFERROR(IF('別紙様式2-2（４・５月分）'!P96="ベア加算","", IF(OR(T96="新加算Ⅰ",T96="新加算Ⅱ",T96="新加算Ⅲ",T96="新加算Ⅳ"),ROUNDDOWN(ROUND(L94*VLOOKUP(K94,【参考】数式用!$A$5:$I$27,MATCH("ベア加算",【参考】数式用!$B$4:$I$4,0)+1,0),0),0)*AF96,"")),"")</f>
        <v/>
      </c>
      <c r="AM96" s="1494"/>
      <c r="AN96" s="1475"/>
      <c r="AO96" s="1496"/>
      <c r="AP96" s="1475"/>
      <c r="AQ96" s="1477"/>
      <c r="AR96" s="1479"/>
      <c r="AS96" s="1483"/>
      <c r="AT96" s="451"/>
      <c r="AU96" s="1303" t="str">
        <f>IF(AND(AA94&lt;&gt;7,AC94&lt;&gt;3),"V列に色付け","")</f>
        <v/>
      </c>
      <c r="AV96" s="1304"/>
      <c r="AW96" s="1305"/>
      <c r="AX96" s="574"/>
      <c r="AY96" s="1222" t="str">
        <f>IF(AL96&lt;&gt;"",IF(AM96="○","入力済","未入力"),"")</f>
        <v/>
      </c>
      <c r="AZ96" s="1222"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2" t="str">
        <f>IF(OR(T96="新加算Ⅴ（７）",T96="新加算Ⅴ（９）",T96="新加算Ⅴ（10）",T96="新加算Ⅴ（12）",T96="新加算Ⅴ（13）",T96="新加算Ⅴ（14）"),IF(OR(AO96="○",AO96="令和６年度中に満たす"),"入力済","未入力"),"")</f>
        <v/>
      </c>
      <c r="BB96" s="1222" t="str">
        <f>IF(OR(T96="新加算Ⅰ",T96="新加算Ⅱ",T96="新加算Ⅲ",T96="新加算Ⅴ（１）",T96="新加算Ⅴ（３）",T96="新加算Ⅴ（８）"),IF(OR(AP96="○",AP96="令和６年度中に満たす"),"入力済","未入力"),"")</f>
        <v/>
      </c>
      <c r="BC96" s="1472" t="str">
        <f t="shared" ref="BC96" si="137">IF(OR(T96="新加算Ⅰ",T96="新加算Ⅱ",T96="新加算Ⅴ（１）",T96="新加算Ⅴ（２）",T96="新加算Ⅴ（３）",T96="新加算Ⅴ（４）",T96="新加算Ⅴ（５）",T96="新加算Ⅴ（６）",T96="新加算Ⅴ（７）",T96="新加算Ⅴ（９）",T96="新加算Ⅴ（10）",T96="新加算Ⅴ（12）"),IF(AQ96&lt;&gt;"",1,""),"")</f>
        <v/>
      </c>
      <c r="BD96" s="1303" t="str">
        <f>IF(OR(T96="新加算Ⅰ",T96="新加算Ⅴ（１）",T96="新加算Ⅴ（２）",T96="新加算Ⅴ（５）",T96="新加算Ⅴ（７）",T96="新加算Ⅴ（10）"),IF(AR96="","未入力","入力済"),"")</f>
        <v/>
      </c>
      <c r="BE96" s="1303" t="str">
        <f>G94</f>
        <v/>
      </c>
      <c r="BF96" s="1303"/>
      <c r="BG96" s="1303"/>
    </row>
    <row r="97" spans="1:59" ht="30" customHeight="1" thickBot="1">
      <c r="A97" s="1268"/>
      <c r="B97" s="1411"/>
      <c r="C97" s="1412"/>
      <c r="D97" s="1412"/>
      <c r="E97" s="1412"/>
      <c r="F97" s="1413"/>
      <c r="G97" s="1253"/>
      <c r="H97" s="1253"/>
      <c r="I97" s="1253"/>
      <c r="J97" s="1416"/>
      <c r="K97" s="1253"/>
      <c r="L97" s="1422"/>
      <c r="M97" s="553" t="str">
        <f>IF('別紙様式2-2（４・５月分）'!P76="","",'別紙様式2-2（４・５月分）'!P76)</f>
        <v/>
      </c>
      <c r="N97" s="1394"/>
      <c r="O97" s="1374"/>
      <c r="P97" s="1426"/>
      <c r="Q97" s="1378"/>
      <c r="R97" s="1509"/>
      <c r="S97" s="1382"/>
      <c r="T97" s="1511"/>
      <c r="U97" s="1507"/>
      <c r="V97" s="1388"/>
      <c r="W97" s="1505"/>
      <c r="X97" s="1364"/>
      <c r="Y97" s="1505"/>
      <c r="Z97" s="1364"/>
      <c r="AA97" s="1505"/>
      <c r="AB97" s="1364"/>
      <c r="AC97" s="1505"/>
      <c r="AD97" s="1364"/>
      <c r="AE97" s="1364"/>
      <c r="AF97" s="1364"/>
      <c r="AG97" s="1360"/>
      <c r="AH97" s="1366"/>
      <c r="AI97" s="1499"/>
      <c r="AJ97" s="1370"/>
      <c r="AK97" s="1501"/>
      <c r="AL97" s="1503"/>
      <c r="AM97" s="1495"/>
      <c r="AN97" s="1476"/>
      <c r="AO97" s="1497"/>
      <c r="AP97" s="1476"/>
      <c r="AQ97" s="1478"/>
      <c r="AR97" s="1480"/>
      <c r="AS97" s="575"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1"/>
      <c r="AU97" s="1303"/>
      <c r="AV97" s="555" t="str">
        <f>IF('別紙様式2-2（４・５月分）'!N76="","",'別紙様式2-2（４・５月分）'!N76)</f>
        <v/>
      </c>
      <c r="AW97" s="1305"/>
      <c r="AX97" s="576"/>
      <c r="AY97" s="1222" t="str">
        <f>IF(OR(T97="新加算Ⅰ",T97="新加算Ⅱ",T97="新加算Ⅲ",T97="新加算Ⅳ",T97="新加算Ⅴ（１）",T97="新加算Ⅴ（２）",T97="新加算Ⅴ（３）",T97="新加算ⅠⅤ（４）",T97="新加算Ⅴ（５）",T97="新加算Ⅴ（６）",T97="新加算Ⅴ（８）",T97="新加算Ⅴ（11）"),IF(AI97="○","","未入力"),"")</f>
        <v/>
      </c>
      <c r="AZ97" s="1222" t="str">
        <f>IF(OR(U97="新加算Ⅰ",U97="新加算Ⅱ",U97="新加算Ⅲ",U97="新加算Ⅳ",U97="新加算Ⅴ（１）",U97="新加算Ⅴ（２）",U97="新加算Ⅴ（３）",U97="新加算ⅠⅤ（４）",U97="新加算Ⅴ（５）",U97="新加算Ⅴ（６）",U97="新加算Ⅴ（８）",U97="新加算Ⅴ（11）"),IF(AJ97="○","","未入力"),"")</f>
        <v/>
      </c>
      <c r="BA97" s="1222" t="str">
        <f>IF(OR(U97="新加算Ⅴ（７）",U97="新加算Ⅴ（９）",U97="新加算Ⅴ（10）",U97="新加算Ⅴ（12）",U97="新加算Ⅴ（13）",U97="新加算Ⅴ（14）"),IF(AK97="○","","未入力"),"")</f>
        <v/>
      </c>
      <c r="BB97" s="1222" t="str">
        <f>IF(OR(U97="新加算Ⅰ",U97="新加算Ⅱ",U97="新加算Ⅲ",U97="新加算Ⅴ（１）",U97="新加算Ⅴ（３）",U97="新加算Ⅴ（８）"),IF(AL97="○","","未入力"),"")</f>
        <v/>
      </c>
      <c r="BC97" s="1472"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03" t="str">
        <f>IF(AND(T97&lt;&gt;"（参考）令和７年度の移行予定",OR(U97="新加算Ⅰ",U97="新加算Ⅴ（１）",U97="新加算Ⅴ（２）",U97="新加算Ⅴ（５）",U97="新加算Ⅴ（７）",U97="新加算Ⅴ（10）")),IF(AN97="","未入力",IF(AN97="いずれも取得していない","要件を満たさない","")),"")</f>
        <v/>
      </c>
      <c r="BE97" s="1303" t="str">
        <f>G94</f>
        <v/>
      </c>
      <c r="BF97" s="1303"/>
      <c r="BG97" s="1303"/>
    </row>
    <row r="98" spans="1:59" ht="30" customHeight="1">
      <c r="A98" s="1293">
        <v>22</v>
      </c>
      <c r="B98" s="1235" t="str">
        <f>IF(基本情報入力シート!C75="","",基本情報入力シート!C75)</f>
        <v/>
      </c>
      <c r="C98" s="1236"/>
      <c r="D98" s="1236"/>
      <c r="E98" s="1236"/>
      <c r="F98" s="1237"/>
      <c r="G98" s="1252" t="str">
        <f>IF(基本情報入力シート!M75="","",基本情報入力シート!M75)</f>
        <v/>
      </c>
      <c r="H98" s="1252" t="str">
        <f>IF(基本情報入力シート!R75="","",基本情報入力シート!R75)</f>
        <v/>
      </c>
      <c r="I98" s="1252" t="str">
        <f>IF(基本情報入力シート!W75="","",基本情報入力シート!W75)</f>
        <v/>
      </c>
      <c r="J98" s="1415" t="str">
        <f>IF(基本情報入力シート!X75="","",基本情報入力シート!X75)</f>
        <v/>
      </c>
      <c r="K98" s="1252" t="str">
        <f>IF(基本情報入力シート!Y75="","",基本情報入力シート!Y75)</f>
        <v/>
      </c>
      <c r="L98" s="1421" t="str">
        <f>IF(基本情報入力シート!AB75="","",基本情報入力シート!AB75)</f>
        <v/>
      </c>
      <c r="M98" s="550" t="str">
        <f>IF('別紙様式2-2（４・５月分）'!P77="","",'別紙様式2-2（４・５月分）'!P77)</f>
        <v/>
      </c>
      <c r="N98" s="1391" t="str">
        <f>IF(SUM('別紙様式2-2（４・５月分）'!Q77:Q79)=0,"",SUM('別紙様式2-2（４・５月分）'!Q77:Q79))</f>
        <v/>
      </c>
      <c r="O98" s="1395" t="str">
        <f>IFERROR(VLOOKUP('別紙様式2-2（４・５月分）'!AQ77,【参考】数式用!$AR$5:$AS$22,2,FALSE),"")</f>
        <v/>
      </c>
      <c r="P98" s="1396"/>
      <c r="Q98" s="1397"/>
      <c r="R98" s="1531" t="str">
        <f>IFERROR(VLOOKUP(K98,【参考】数式用!$A$5:$AB$37,MATCH(O98,【参考】数式用!$B$4:$AB$4,0)+1,0),"")</f>
        <v/>
      </c>
      <c r="S98" s="1403" t="s">
        <v>2102</v>
      </c>
      <c r="T98" s="1527" t="str">
        <f>IF('別紙様式2-3（６月以降分）'!T98="","",'別紙様式2-3（６月以降分）'!T98)</f>
        <v/>
      </c>
      <c r="U98" s="1529" t="str">
        <f>IFERROR(VLOOKUP(K98,【参考】数式用!$A$5:$AB$37,MATCH(T98,【参考】数式用!$B$4:$AB$4,0)+1,0),"")</f>
        <v/>
      </c>
      <c r="V98" s="1409" t="s">
        <v>15</v>
      </c>
      <c r="W98" s="1525">
        <f>'別紙様式2-3（６月以降分）'!W98</f>
        <v>6</v>
      </c>
      <c r="X98" s="1349" t="s">
        <v>10</v>
      </c>
      <c r="Y98" s="1525">
        <f>'別紙様式2-3（６月以降分）'!Y98</f>
        <v>6</v>
      </c>
      <c r="Z98" s="1349" t="s">
        <v>38</v>
      </c>
      <c r="AA98" s="1525">
        <f>'別紙様式2-3（６月以降分）'!AA98</f>
        <v>7</v>
      </c>
      <c r="AB98" s="1349" t="s">
        <v>10</v>
      </c>
      <c r="AC98" s="1525">
        <f>'別紙様式2-3（６月以降分）'!AC98</f>
        <v>3</v>
      </c>
      <c r="AD98" s="1349" t="s">
        <v>2020</v>
      </c>
      <c r="AE98" s="1349" t="s">
        <v>20</v>
      </c>
      <c r="AF98" s="1349">
        <f>IF(W98&gt;=1,(AA98*12+AC98)-(W98*12+Y98)+1,"")</f>
        <v>10</v>
      </c>
      <c r="AG98" s="1351" t="s">
        <v>33</v>
      </c>
      <c r="AH98" s="1517" t="str">
        <f>'別紙様式2-3（６月以降分）'!AH98</f>
        <v/>
      </c>
      <c r="AI98" s="1519" t="str">
        <f>'別紙様式2-3（６月以降分）'!AI98</f>
        <v/>
      </c>
      <c r="AJ98" s="1521">
        <f>'別紙様式2-3（６月以降分）'!AJ98</f>
        <v>0</v>
      </c>
      <c r="AK98" s="1523" t="str">
        <f>IF('別紙様式2-3（６月以降分）'!AK98="","",'別紙様式2-3（６月以降分）'!AK98)</f>
        <v/>
      </c>
      <c r="AL98" s="1512">
        <f>'別紙様式2-3（６月以降分）'!AL98</f>
        <v>0</v>
      </c>
      <c r="AM98" s="1514" t="str">
        <f>IF('別紙様式2-3（６月以降分）'!AM98="","",'別紙様式2-3（６月以降分）'!AM98)</f>
        <v/>
      </c>
      <c r="AN98" s="1333" t="str">
        <f>IF('別紙様式2-3（６月以降分）'!AN98="","",'別紙様式2-3（６月以降分）'!AN98)</f>
        <v/>
      </c>
      <c r="AO98" s="1331" t="str">
        <f>IF('別紙様式2-3（６月以降分）'!AO98="","",'別紙様式2-3（６月以降分）'!AO98)</f>
        <v/>
      </c>
      <c r="AP98" s="1333" t="str">
        <f>IF('別紙様式2-3（６月以降分）'!AP98="","",'別紙様式2-3（６月以降分）'!AP98)</f>
        <v/>
      </c>
      <c r="AQ98" s="1481" t="str">
        <f>IF('別紙様式2-3（６月以降分）'!AQ98="","",'別紙様式2-3（６月以降分）'!AQ98)</f>
        <v/>
      </c>
      <c r="AR98" s="1484" t="str">
        <f>IF('別紙様式2-3（６月以降分）'!AR98="","",'別紙様式2-3（６月以降分）'!AR98)</f>
        <v/>
      </c>
      <c r="AS98" s="570" t="str">
        <f t="shared" ref="AS98" si="140">IF(AU100="","",IF(U100&lt;U98,"！加算の要件上は問題ありませんが、令和６年度当初の新加算の加算率と比較して、移行後の加算率が下がる計画になっています。",""))</f>
        <v/>
      </c>
      <c r="AT98" s="577"/>
      <c r="AU98" s="1301"/>
      <c r="AV98" s="555" t="str">
        <f>IF('別紙様式2-2（４・５月分）'!N77="","",'別紙様式2-2（４・５月分）'!N77)</f>
        <v/>
      </c>
      <c r="AW98" s="1305" t="str">
        <f>IF(SUM('別紙様式2-2（４・５月分）'!O77:O79)=0,"",SUM('別紙様式2-2（４・５月分）'!O77:O79))</f>
        <v/>
      </c>
      <c r="AX98" s="1473" t="str">
        <f>IFERROR(VLOOKUP(K98,【参考】数式用!$AH$2:$AI$34,2,FALSE),"")</f>
        <v/>
      </c>
      <c r="AY98" s="493"/>
      <c r="BD98" s="340"/>
      <c r="BE98" s="1303" t="str">
        <f>G98</f>
        <v/>
      </c>
      <c r="BF98" s="1303"/>
      <c r="BG98" s="1303"/>
    </row>
    <row r="99" spans="1:59" ht="15" customHeight="1">
      <c r="A99" s="1267"/>
      <c r="B99" s="1235"/>
      <c r="C99" s="1236"/>
      <c r="D99" s="1236"/>
      <c r="E99" s="1236"/>
      <c r="F99" s="1237"/>
      <c r="G99" s="1252"/>
      <c r="H99" s="1252"/>
      <c r="I99" s="1252"/>
      <c r="J99" s="1415"/>
      <c r="K99" s="1252"/>
      <c r="L99" s="1421"/>
      <c r="M99" s="1371" t="str">
        <f>IF('別紙様式2-2（４・５月分）'!P78="","",'別紙様式2-2（４・５月分）'!P78)</f>
        <v/>
      </c>
      <c r="N99" s="1392"/>
      <c r="O99" s="1398"/>
      <c r="P99" s="1399"/>
      <c r="Q99" s="1400"/>
      <c r="R99" s="1532"/>
      <c r="S99" s="1404"/>
      <c r="T99" s="1528"/>
      <c r="U99" s="1530"/>
      <c r="V99" s="1410"/>
      <c r="W99" s="1526"/>
      <c r="X99" s="1350"/>
      <c r="Y99" s="1526"/>
      <c r="Z99" s="1350"/>
      <c r="AA99" s="1526"/>
      <c r="AB99" s="1350"/>
      <c r="AC99" s="1526"/>
      <c r="AD99" s="1350"/>
      <c r="AE99" s="1350"/>
      <c r="AF99" s="1350"/>
      <c r="AG99" s="1352"/>
      <c r="AH99" s="1518"/>
      <c r="AI99" s="1520"/>
      <c r="AJ99" s="1522"/>
      <c r="AK99" s="1524"/>
      <c r="AL99" s="1513"/>
      <c r="AM99" s="1515"/>
      <c r="AN99" s="1334"/>
      <c r="AO99" s="1516"/>
      <c r="AP99" s="1334"/>
      <c r="AQ99" s="1482"/>
      <c r="AR99" s="1485"/>
      <c r="AS99" s="1483" t="str">
        <f t="shared" ref="AS99" si="141">IF(AU100="","",IF(OR(AA100="",AA100&lt;&gt;7,AC100="",AC100&lt;&gt;3),"！算定期間の終わりが令和７年３月になっていません。年度内の廃止予定等がなければ、算定対象月を令和７年３月にしてください。",""))</f>
        <v/>
      </c>
      <c r="AT99" s="577"/>
      <c r="AU99" s="1303"/>
      <c r="AV99" s="1304" t="str">
        <f>IF('別紙様式2-2（４・５月分）'!N78="","",'別紙様式2-2（４・５月分）'!N78)</f>
        <v/>
      </c>
      <c r="AW99" s="1305"/>
      <c r="AX99" s="1474"/>
      <c r="AY99" s="430"/>
      <c r="BD99" s="340"/>
      <c r="BE99" s="1303" t="str">
        <f>G98</f>
        <v/>
      </c>
      <c r="BF99" s="1303"/>
      <c r="BG99" s="1303"/>
    </row>
    <row r="100" spans="1:59" ht="15" customHeight="1">
      <c r="A100" s="1295"/>
      <c r="B100" s="1235"/>
      <c r="C100" s="1236"/>
      <c r="D100" s="1236"/>
      <c r="E100" s="1236"/>
      <c r="F100" s="1237"/>
      <c r="G100" s="1252"/>
      <c r="H100" s="1252"/>
      <c r="I100" s="1252"/>
      <c r="J100" s="1415"/>
      <c r="K100" s="1252"/>
      <c r="L100" s="1421"/>
      <c r="M100" s="1372"/>
      <c r="N100" s="1393"/>
      <c r="O100" s="1373" t="s">
        <v>2025</v>
      </c>
      <c r="P100" s="1425" t="str">
        <f>IFERROR(VLOOKUP('別紙様式2-2（４・５月分）'!AQ77,【参考】数式用!$AR$5:$AT$22,3,FALSE),"")</f>
        <v/>
      </c>
      <c r="Q100" s="1377" t="s">
        <v>2036</v>
      </c>
      <c r="R100" s="1508" t="str">
        <f>IFERROR(VLOOKUP(K98,【参考】数式用!$A$5:$AB$37,MATCH(P100,【参考】数式用!$B$4:$AB$4,0)+1,0),"")</f>
        <v/>
      </c>
      <c r="S100" s="1381" t="s">
        <v>2109</v>
      </c>
      <c r="T100" s="1510"/>
      <c r="U100" s="1506" t="str">
        <f>IFERROR(VLOOKUP(K98,【参考】数式用!$A$5:$AB$37,MATCH(T100,【参考】数式用!$B$4:$AB$4,0)+1,0),"")</f>
        <v/>
      </c>
      <c r="V100" s="1387" t="s">
        <v>15</v>
      </c>
      <c r="W100" s="1504"/>
      <c r="X100" s="1363" t="s">
        <v>10</v>
      </c>
      <c r="Y100" s="1504"/>
      <c r="Z100" s="1363" t="s">
        <v>38</v>
      </c>
      <c r="AA100" s="1504"/>
      <c r="AB100" s="1363" t="s">
        <v>10</v>
      </c>
      <c r="AC100" s="1504"/>
      <c r="AD100" s="1363" t="s">
        <v>2020</v>
      </c>
      <c r="AE100" s="1363" t="s">
        <v>20</v>
      </c>
      <c r="AF100" s="1363" t="str">
        <f>IF(W100&gt;=1,(AA100*12+AC100)-(W100*12+Y100)+1,"")</f>
        <v/>
      </c>
      <c r="AG100" s="1359" t="s">
        <v>33</v>
      </c>
      <c r="AH100" s="1365" t="str">
        <f t="shared" ref="AH100" si="142">IFERROR(ROUNDDOWN(ROUND(L98*U100,0),0)*AF100,"")</f>
        <v/>
      </c>
      <c r="AI100" s="1498" t="str">
        <f t="shared" ref="AI100" si="143">IFERROR(ROUNDDOWN(ROUND((L98*(U100-AW98)),0),0)*AF100,"")</f>
        <v/>
      </c>
      <c r="AJ100" s="1369" t="str">
        <f>IFERROR(ROUNDDOWN(ROUNDDOWN(ROUND(L98*VLOOKUP(K98,【参考】数式用!$A$5:$AB$27,MATCH("新加算Ⅳ",【参考】数式用!$B$4:$AB$4,0)+1,0),0),0)*AF100*0.5,0),"")</f>
        <v/>
      </c>
      <c r="AK100" s="1500"/>
      <c r="AL100" s="1502" t="str">
        <f>IFERROR(IF('別紙様式2-2（４・５月分）'!P100="ベア加算","", IF(OR(T100="新加算Ⅰ",T100="新加算Ⅱ",T100="新加算Ⅲ",T100="新加算Ⅳ"),ROUNDDOWN(ROUND(L98*VLOOKUP(K98,【参考】数式用!$A$5:$I$27,MATCH("ベア加算",【参考】数式用!$B$4:$I$4,0)+1,0),0),0)*AF100,"")),"")</f>
        <v/>
      </c>
      <c r="AM100" s="1494"/>
      <c r="AN100" s="1475"/>
      <c r="AO100" s="1496"/>
      <c r="AP100" s="1475"/>
      <c r="AQ100" s="1477"/>
      <c r="AR100" s="1479"/>
      <c r="AS100" s="1483"/>
      <c r="AT100" s="451"/>
      <c r="AU100" s="1303" t="str">
        <f>IF(AND(AA98&lt;&gt;7,AC98&lt;&gt;3),"V列に色付け","")</f>
        <v/>
      </c>
      <c r="AV100" s="1304"/>
      <c r="AW100" s="1305"/>
      <c r="AX100" s="574"/>
      <c r="AY100" s="1222" t="str">
        <f>IF(AL100&lt;&gt;"",IF(AM100="○","入力済","未入力"),"")</f>
        <v/>
      </c>
      <c r="AZ100" s="1222"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2" t="str">
        <f>IF(OR(T100="新加算Ⅴ（７）",T100="新加算Ⅴ（９）",T100="新加算Ⅴ（10）",T100="新加算Ⅴ（12）",T100="新加算Ⅴ（13）",T100="新加算Ⅴ（14）"),IF(OR(AO100="○",AO100="令和６年度中に満たす"),"入力済","未入力"),"")</f>
        <v/>
      </c>
      <c r="BB100" s="1222" t="str">
        <f>IF(OR(T100="新加算Ⅰ",T100="新加算Ⅱ",T100="新加算Ⅲ",T100="新加算Ⅴ（１）",T100="新加算Ⅴ（３）",T100="新加算Ⅴ（８）"),IF(OR(AP100="○",AP100="令和６年度中に満たす"),"入力済","未入力"),"")</f>
        <v/>
      </c>
      <c r="BC100" s="1472"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03" t="str">
        <f>IF(OR(T100="新加算Ⅰ",T100="新加算Ⅴ（１）",T100="新加算Ⅴ（２）",T100="新加算Ⅴ（５）",T100="新加算Ⅴ（７）",T100="新加算Ⅴ（10）"),IF(AR100="","未入力","入力済"),"")</f>
        <v/>
      </c>
      <c r="BE100" s="1303" t="str">
        <f>G98</f>
        <v/>
      </c>
      <c r="BF100" s="1303"/>
      <c r="BG100" s="1303"/>
    </row>
    <row r="101" spans="1:59" ht="30" customHeight="1" thickBot="1">
      <c r="A101" s="1268"/>
      <c r="B101" s="1411"/>
      <c r="C101" s="1412"/>
      <c r="D101" s="1412"/>
      <c r="E101" s="1412"/>
      <c r="F101" s="1413"/>
      <c r="G101" s="1253"/>
      <c r="H101" s="1253"/>
      <c r="I101" s="1253"/>
      <c r="J101" s="1416"/>
      <c r="K101" s="1253"/>
      <c r="L101" s="1422"/>
      <c r="M101" s="553" t="str">
        <f>IF('別紙様式2-2（４・５月分）'!P79="","",'別紙様式2-2（４・５月分）'!P79)</f>
        <v/>
      </c>
      <c r="N101" s="1394"/>
      <c r="O101" s="1374"/>
      <c r="P101" s="1426"/>
      <c r="Q101" s="1378"/>
      <c r="R101" s="1509"/>
      <c r="S101" s="1382"/>
      <c r="T101" s="1511"/>
      <c r="U101" s="1507"/>
      <c r="V101" s="1388"/>
      <c r="W101" s="1505"/>
      <c r="X101" s="1364"/>
      <c r="Y101" s="1505"/>
      <c r="Z101" s="1364"/>
      <c r="AA101" s="1505"/>
      <c r="AB101" s="1364"/>
      <c r="AC101" s="1505"/>
      <c r="AD101" s="1364"/>
      <c r="AE101" s="1364"/>
      <c r="AF101" s="1364"/>
      <c r="AG101" s="1360"/>
      <c r="AH101" s="1366"/>
      <c r="AI101" s="1499"/>
      <c r="AJ101" s="1370"/>
      <c r="AK101" s="1501"/>
      <c r="AL101" s="1503"/>
      <c r="AM101" s="1495"/>
      <c r="AN101" s="1476"/>
      <c r="AO101" s="1497"/>
      <c r="AP101" s="1476"/>
      <c r="AQ101" s="1478"/>
      <c r="AR101" s="1480"/>
      <c r="AS101" s="575"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1"/>
      <c r="AU101" s="1303"/>
      <c r="AV101" s="555" t="str">
        <f>IF('別紙様式2-2（４・５月分）'!N79="","",'別紙様式2-2（４・５月分）'!N79)</f>
        <v/>
      </c>
      <c r="AW101" s="1305"/>
      <c r="AX101" s="576"/>
      <c r="AY101" s="1222" t="str">
        <f>IF(OR(T101="新加算Ⅰ",T101="新加算Ⅱ",T101="新加算Ⅲ",T101="新加算Ⅳ",T101="新加算Ⅴ（１）",T101="新加算Ⅴ（２）",T101="新加算Ⅴ（３）",T101="新加算ⅠⅤ（４）",T101="新加算Ⅴ（５）",T101="新加算Ⅴ（６）",T101="新加算Ⅴ（８）",T101="新加算Ⅴ（11）"),IF(AI101="○","","未入力"),"")</f>
        <v/>
      </c>
      <c r="AZ101" s="1222" t="str">
        <f>IF(OR(U101="新加算Ⅰ",U101="新加算Ⅱ",U101="新加算Ⅲ",U101="新加算Ⅳ",U101="新加算Ⅴ（１）",U101="新加算Ⅴ（２）",U101="新加算Ⅴ（３）",U101="新加算ⅠⅤ（４）",U101="新加算Ⅴ（５）",U101="新加算Ⅴ（６）",U101="新加算Ⅴ（８）",U101="新加算Ⅴ（11）"),IF(AJ101="○","","未入力"),"")</f>
        <v/>
      </c>
      <c r="BA101" s="1222" t="str">
        <f>IF(OR(U101="新加算Ⅴ（７）",U101="新加算Ⅴ（９）",U101="新加算Ⅴ（10）",U101="新加算Ⅴ（12）",U101="新加算Ⅴ（13）",U101="新加算Ⅴ（14）"),IF(AK101="○","","未入力"),"")</f>
        <v/>
      </c>
      <c r="BB101" s="1222" t="str">
        <f>IF(OR(U101="新加算Ⅰ",U101="新加算Ⅱ",U101="新加算Ⅲ",U101="新加算Ⅴ（１）",U101="新加算Ⅴ（３）",U101="新加算Ⅴ（８）"),IF(AL101="○","","未入力"),"")</f>
        <v/>
      </c>
      <c r="BC101" s="1472"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03" t="str">
        <f>IF(AND(T101&lt;&gt;"（参考）令和７年度の移行予定",OR(U101="新加算Ⅰ",U101="新加算Ⅴ（１）",U101="新加算Ⅴ（２）",U101="新加算Ⅴ（５）",U101="新加算Ⅴ（７）",U101="新加算Ⅴ（10）")),IF(AN101="","未入力",IF(AN101="いずれも取得していない","要件を満たさない","")),"")</f>
        <v/>
      </c>
      <c r="BE101" s="1303" t="str">
        <f>G98</f>
        <v/>
      </c>
      <c r="BF101" s="1303"/>
      <c r="BG101" s="1303"/>
    </row>
    <row r="102" spans="1:59" ht="30" customHeight="1">
      <c r="A102" s="1266">
        <v>23</v>
      </c>
      <c r="B102" s="1235" t="str">
        <f>IF(基本情報入力シート!C76="","",基本情報入力シート!C76)</f>
        <v/>
      </c>
      <c r="C102" s="1236"/>
      <c r="D102" s="1236"/>
      <c r="E102" s="1236"/>
      <c r="F102" s="1237"/>
      <c r="G102" s="1252" t="str">
        <f>IF(基本情報入力シート!M76="","",基本情報入力シート!M76)</f>
        <v/>
      </c>
      <c r="H102" s="1252" t="str">
        <f>IF(基本情報入力シート!R76="","",基本情報入力シート!R76)</f>
        <v/>
      </c>
      <c r="I102" s="1252" t="str">
        <f>IF(基本情報入力シート!W76="","",基本情報入力シート!W76)</f>
        <v/>
      </c>
      <c r="J102" s="1415" t="str">
        <f>IF(基本情報入力シート!X76="","",基本情報入力シート!X76)</f>
        <v/>
      </c>
      <c r="K102" s="1252" t="str">
        <f>IF(基本情報入力シート!Y76="","",基本情報入力シート!Y76)</f>
        <v/>
      </c>
      <c r="L102" s="1421" t="str">
        <f>IF(基本情報入力シート!AB76="","",基本情報入力シート!AB76)</f>
        <v/>
      </c>
      <c r="M102" s="550" t="str">
        <f>IF('別紙様式2-2（４・５月分）'!P80="","",'別紙様式2-2（４・５月分）'!P80)</f>
        <v/>
      </c>
      <c r="N102" s="1391" t="str">
        <f>IF(SUM('別紙様式2-2（４・５月分）'!Q80:Q82)=0,"",SUM('別紙様式2-2（４・５月分）'!Q80:Q82))</f>
        <v/>
      </c>
      <c r="O102" s="1395" t="str">
        <f>IFERROR(VLOOKUP('別紙様式2-2（４・５月分）'!AQ80,【参考】数式用!$AR$5:$AS$22,2,FALSE),"")</f>
        <v/>
      </c>
      <c r="P102" s="1396"/>
      <c r="Q102" s="1397"/>
      <c r="R102" s="1531" t="str">
        <f>IFERROR(VLOOKUP(K102,【参考】数式用!$A$5:$AB$37,MATCH(O102,【参考】数式用!$B$4:$AB$4,0)+1,0),"")</f>
        <v/>
      </c>
      <c r="S102" s="1403" t="s">
        <v>2102</v>
      </c>
      <c r="T102" s="1527" t="str">
        <f>IF('別紙様式2-3（６月以降分）'!T102="","",'別紙様式2-3（６月以降分）'!T102)</f>
        <v/>
      </c>
      <c r="U102" s="1529" t="str">
        <f>IFERROR(VLOOKUP(K102,【参考】数式用!$A$5:$AB$37,MATCH(T102,【参考】数式用!$B$4:$AB$4,0)+1,0),"")</f>
        <v/>
      </c>
      <c r="V102" s="1409" t="s">
        <v>15</v>
      </c>
      <c r="W102" s="1525">
        <f>'別紙様式2-3（６月以降分）'!W102</f>
        <v>6</v>
      </c>
      <c r="X102" s="1349" t="s">
        <v>10</v>
      </c>
      <c r="Y102" s="1525">
        <f>'別紙様式2-3（６月以降分）'!Y102</f>
        <v>6</v>
      </c>
      <c r="Z102" s="1349" t="s">
        <v>38</v>
      </c>
      <c r="AA102" s="1525">
        <f>'別紙様式2-3（６月以降分）'!AA102</f>
        <v>7</v>
      </c>
      <c r="AB102" s="1349" t="s">
        <v>10</v>
      </c>
      <c r="AC102" s="1525">
        <f>'別紙様式2-3（６月以降分）'!AC102</f>
        <v>3</v>
      </c>
      <c r="AD102" s="1349" t="s">
        <v>2020</v>
      </c>
      <c r="AE102" s="1349" t="s">
        <v>20</v>
      </c>
      <c r="AF102" s="1349">
        <f>IF(W102&gt;=1,(AA102*12+AC102)-(W102*12+Y102)+1,"")</f>
        <v>10</v>
      </c>
      <c r="AG102" s="1351" t="s">
        <v>33</v>
      </c>
      <c r="AH102" s="1517" t="str">
        <f>'別紙様式2-3（６月以降分）'!AH102</f>
        <v/>
      </c>
      <c r="AI102" s="1519" t="str">
        <f>'別紙様式2-3（６月以降分）'!AI102</f>
        <v/>
      </c>
      <c r="AJ102" s="1521">
        <f>'別紙様式2-3（６月以降分）'!AJ102</f>
        <v>0</v>
      </c>
      <c r="AK102" s="1523" t="str">
        <f>IF('別紙様式2-3（６月以降分）'!AK102="","",'別紙様式2-3（６月以降分）'!AK102)</f>
        <v/>
      </c>
      <c r="AL102" s="1512">
        <f>'別紙様式2-3（６月以降分）'!AL102</f>
        <v>0</v>
      </c>
      <c r="AM102" s="1514" t="str">
        <f>IF('別紙様式2-3（６月以降分）'!AM102="","",'別紙様式2-3（６月以降分）'!AM102)</f>
        <v/>
      </c>
      <c r="AN102" s="1333" t="str">
        <f>IF('別紙様式2-3（６月以降分）'!AN102="","",'別紙様式2-3（６月以降分）'!AN102)</f>
        <v/>
      </c>
      <c r="AO102" s="1331" t="str">
        <f>IF('別紙様式2-3（６月以降分）'!AO102="","",'別紙様式2-3（６月以降分）'!AO102)</f>
        <v/>
      </c>
      <c r="AP102" s="1333" t="str">
        <f>IF('別紙様式2-3（６月以降分）'!AP102="","",'別紙様式2-3（６月以降分）'!AP102)</f>
        <v/>
      </c>
      <c r="AQ102" s="1481" t="str">
        <f>IF('別紙様式2-3（６月以降分）'!AQ102="","",'別紙様式2-3（６月以降分）'!AQ102)</f>
        <v/>
      </c>
      <c r="AR102" s="1484" t="str">
        <f>IF('別紙様式2-3（６月以降分）'!AR102="","",'別紙様式2-3（６月以降分）'!AR102)</f>
        <v/>
      </c>
      <c r="AS102" s="570" t="str">
        <f t="shared" ref="AS102" si="147">IF(AU104="","",IF(U104&lt;U102,"！加算の要件上は問題ありませんが、令和６年度当初の新加算の加算率と比較して、移行後の加算率が下がる計画になっています。",""))</f>
        <v/>
      </c>
      <c r="AT102" s="577"/>
      <c r="AU102" s="1301"/>
      <c r="AV102" s="555" t="str">
        <f>IF('別紙様式2-2（４・５月分）'!N80="","",'別紙様式2-2（４・５月分）'!N80)</f>
        <v/>
      </c>
      <c r="AW102" s="1305" t="str">
        <f>IF(SUM('別紙様式2-2（４・５月分）'!O80:O82)=0,"",SUM('別紙様式2-2（４・５月分）'!O80:O82))</f>
        <v/>
      </c>
      <c r="AX102" s="1473" t="str">
        <f>IFERROR(VLOOKUP(K102,【参考】数式用!$AH$2:$AI$34,2,FALSE),"")</f>
        <v/>
      </c>
      <c r="AY102" s="493"/>
      <c r="BD102" s="340"/>
      <c r="BE102" s="1303" t="str">
        <f>G102</f>
        <v/>
      </c>
      <c r="BF102" s="1303"/>
      <c r="BG102" s="1303"/>
    </row>
    <row r="103" spans="1:59" ht="15" customHeight="1">
      <c r="A103" s="1267"/>
      <c r="B103" s="1235"/>
      <c r="C103" s="1236"/>
      <c r="D103" s="1236"/>
      <c r="E103" s="1236"/>
      <c r="F103" s="1237"/>
      <c r="G103" s="1252"/>
      <c r="H103" s="1252"/>
      <c r="I103" s="1252"/>
      <c r="J103" s="1415"/>
      <c r="K103" s="1252"/>
      <c r="L103" s="1421"/>
      <c r="M103" s="1371" t="str">
        <f>IF('別紙様式2-2（４・５月分）'!P81="","",'別紙様式2-2（４・５月分）'!P81)</f>
        <v/>
      </c>
      <c r="N103" s="1392"/>
      <c r="O103" s="1398"/>
      <c r="P103" s="1399"/>
      <c r="Q103" s="1400"/>
      <c r="R103" s="1532"/>
      <c r="S103" s="1404"/>
      <c r="T103" s="1528"/>
      <c r="U103" s="1530"/>
      <c r="V103" s="1410"/>
      <c r="W103" s="1526"/>
      <c r="X103" s="1350"/>
      <c r="Y103" s="1526"/>
      <c r="Z103" s="1350"/>
      <c r="AA103" s="1526"/>
      <c r="AB103" s="1350"/>
      <c r="AC103" s="1526"/>
      <c r="AD103" s="1350"/>
      <c r="AE103" s="1350"/>
      <c r="AF103" s="1350"/>
      <c r="AG103" s="1352"/>
      <c r="AH103" s="1518"/>
      <c r="AI103" s="1520"/>
      <c r="AJ103" s="1522"/>
      <c r="AK103" s="1524"/>
      <c r="AL103" s="1513"/>
      <c r="AM103" s="1515"/>
      <c r="AN103" s="1334"/>
      <c r="AO103" s="1516"/>
      <c r="AP103" s="1334"/>
      <c r="AQ103" s="1482"/>
      <c r="AR103" s="1485"/>
      <c r="AS103" s="1483" t="str">
        <f t="shared" ref="AS103" si="148">IF(AU104="","",IF(OR(AA104="",AA104&lt;&gt;7,AC104="",AC104&lt;&gt;3),"！算定期間の終わりが令和７年３月になっていません。年度内の廃止予定等がなければ、算定対象月を令和７年３月にしてください。",""))</f>
        <v/>
      </c>
      <c r="AT103" s="577"/>
      <c r="AU103" s="1303"/>
      <c r="AV103" s="1304" t="str">
        <f>IF('別紙様式2-2（４・５月分）'!N81="","",'別紙様式2-2（４・５月分）'!N81)</f>
        <v/>
      </c>
      <c r="AW103" s="1305"/>
      <c r="AX103" s="1474"/>
      <c r="AY103" s="430"/>
      <c r="BD103" s="340"/>
      <c r="BE103" s="1303" t="str">
        <f>G102</f>
        <v/>
      </c>
      <c r="BF103" s="1303"/>
      <c r="BG103" s="1303"/>
    </row>
    <row r="104" spans="1:59" ht="15" customHeight="1">
      <c r="A104" s="1295"/>
      <c r="B104" s="1235"/>
      <c r="C104" s="1236"/>
      <c r="D104" s="1236"/>
      <c r="E104" s="1236"/>
      <c r="F104" s="1237"/>
      <c r="G104" s="1252"/>
      <c r="H104" s="1252"/>
      <c r="I104" s="1252"/>
      <c r="J104" s="1415"/>
      <c r="K104" s="1252"/>
      <c r="L104" s="1421"/>
      <c r="M104" s="1372"/>
      <c r="N104" s="1393"/>
      <c r="O104" s="1373" t="s">
        <v>2025</v>
      </c>
      <c r="P104" s="1425" t="str">
        <f>IFERROR(VLOOKUP('別紙様式2-2（４・５月分）'!AQ80,【参考】数式用!$AR$5:$AT$22,3,FALSE),"")</f>
        <v/>
      </c>
      <c r="Q104" s="1377" t="s">
        <v>2036</v>
      </c>
      <c r="R104" s="1508" t="str">
        <f>IFERROR(VLOOKUP(K102,【参考】数式用!$A$5:$AB$37,MATCH(P104,【参考】数式用!$B$4:$AB$4,0)+1,0),"")</f>
        <v/>
      </c>
      <c r="S104" s="1381" t="s">
        <v>2109</v>
      </c>
      <c r="T104" s="1510"/>
      <c r="U104" s="1506" t="str">
        <f>IFERROR(VLOOKUP(K102,【参考】数式用!$A$5:$AB$37,MATCH(T104,【参考】数式用!$B$4:$AB$4,0)+1,0),"")</f>
        <v/>
      </c>
      <c r="V104" s="1387" t="s">
        <v>15</v>
      </c>
      <c r="W104" s="1504"/>
      <c r="X104" s="1363" t="s">
        <v>10</v>
      </c>
      <c r="Y104" s="1504"/>
      <c r="Z104" s="1363" t="s">
        <v>38</v>
      </c>
      <c r="AA104" s="1504"/>
      <c r="AB104" s="1363" t="s">
        <v>10</v>
      </c>
      <c r="AC104" s="1504"/>
      <c r="AD104" s="1363" t="s">
        <v>2020</v>
      </c>
      <c r="AE104" s="1363" t="s">
        <v>20</v>
      </c>
      <c r="AF104" s="1363" t="str">
        <f>IF(W104&gt;=1,(AA104*12+AC104)-(W104*12+Y104)+1,"")</f>
        <v/>
      </c>
      <c r="AG104" s="1359" t="s">
        <v>33</v>
      </c>
      <c r="AH104" s="1365" t="str">
        <f t="shared" ref="AH104" si="149">IFERROR(ROUNDDOWN(ROUND(L102*U104,0),0)*AF104,"")</f>
        <v/>
      </c>
      <c r="AI104" s="1498" t="str">
        <f t="shared" ref="AI104" si="150">IFERROR(ROUNDDOWN(ROUND((L102*(U104-AW102)),0),0)*AF104,"")</f>
        <v/>
      </c>
      <c r="AJ104" s="1369" t="str">
        <f>IFERROR(ROUNDDOWN(ROUNDDOWN(ROUND(L102*VLOOKUP(K102,【参考】数式用!$A$5:$AB$27,MATCH("新加算Ⅳ",【参考】数式用!$B$4:$AB$4,0)+1,0),0),0)*AF104*0.5,0),"")</f>
        <v/>
      </c>
      <c r="AK104" s="1500"/>
      <c r="AL104" s="1502" t="str">
        <f>IFERROR(IF('別紙様式2-2（４・５月分）'!P104="ベア加算","", IF(OR(T104="新加算Ⅰ",T104="新加算Ⅱ",T104="新加算Ⅲ",T104="新加算Ⅳ"),ROUNDDOWN(ROUND(L102*VLOOKUP(K102,【参考】数式用!$A$5:$I$27,MATCH("ベア加算",【参考】数式用!$B$4:$I$4,0)+1,0),0),0)*AF104,"")),"")</f>
        <v/>
      </c>
      <c r="AM104" s="1494"/>
      <c r="AN104" s="1475"/>
      <c r="AO104" s="1496"/>
      <c r="AP104" s="1475"/>
      <c r="AQ104" s="1477"/>
      <c r="AR104" s="1479"/>
      <c r="AS104" s="1483"/>
      <c r="AT104" s="451"/>
      <c r="AU104" s="1303" t="str">
        <f>IF(AND(AA102&lt;&gt;7,AC102&lt;&gt;3),"V列に色付け","")</f>
        <v/>
      </c>
      <c r="AV104" s="1304"/>
      <c r="AW104" s="1305"/>
      <c r="AX104" s="574"/>
      <c r="AY104" s="1222" t="str">
        <f>IF(AL104&lt;&gt;"",IF(AM104="○","入力済","未入力"),"")</f>
        <v/>
      </c>
      <c r="AZ104" s="1222"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2" t="str">
        <f>IF(OR(T104="新加算Ⅴ（７）",T104="新加算Ⅴ（９）",T104="新加算Ⅴ（10）",T104="新加算Ⅴ（12）",T104="新加算Ⅴ（13）",T104="新加算Ⅴ（14）"),IF(OR(AO104="○",AO104="令和６年度中に満たす"),"入力済","未入力"),"")</f>
        <v/>
      </c>
      <c r="BB104" s="1222" t="str">
        <f>IF(OR(T104="新加算Ⅰ",T104="新加算Ⅱ",T104="新加算Ⅲ",T104="新加算Ⅴ（１）",T104="新加算Ⅴ（３）",T104="新加算Ⅴ（８）"),IF(OR(AP104="○",AP104="令和６年度中に満たす"),"入力済","未入力"),"")</f>
        <v/>
      </c>
      <c r="BC104" s="1472"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03" t="str">
        <f>IF(OR(T104="新加算Ⅰ",T104="新加算Ⅴ（１）",T104="新加算Ⅴ（２）",T104="新加算Ⅴ（５）",T104="新加算Ⅴ（７）",T104="新加算Ⅴ（10）"),IF(AR104="","未入力","入力済"),"")</f>
        <v/>
      </c>
      <c r="BE104" s="1303" t="str">
        <f>G102</f>
        <v/>
      </c>
      <c r="BF104" s="1303"/>
      <c r="BG104" s="1303"/>
    </row>
    <row r="105" spans="1:59" ht="30" customHeight="1" thickBot="1">
      <c r="A105" s="1268"/>
      <c r="B105" s="1411"/>
      <c r="C105" s="1412"/>
      <c r="D105" s="1412"/>
      <c r="E105" s="1412"/>
      <c r="F105" s="1413"/>
      <c r="G105" s="1253"/>
      <c r="H105" s="1253"/>
      <c r="I105" s="1253"/>
      <c r="J105" s="1416"/>
      <c r="K105" s="1253"/>
      <c r="L105" s="1422"/>
      <c r="M105" s="553" t="str">
        <f>IF('別紙様式2-2（４・５月分）'!P82="","",'別紙様式2-2（４・５月分）'!P82)</f>
        <v/>
      </c>
      <c r="N105" s="1394"/>
      <c r="O105" s="1374"/>
      <c r="P105" s="1426"/>
      <c r="Q105" s="1378"/>
      <c r="R105" s="1509"/>
      <c r="S105" s="1382"/>
      <c r="T105" s="1511"/>
      <c r="U105" s="1507"/>
      <c r="V105" s="1388"/>
      <c r="W105" s="1505"/>
      <c r="X105" s="1364"/>
      <c r="Y105" s="1505"/>
      <c r="Z105" s="1364"/>
      <c r="AA105" s="1505"/>
      <c r="AB105" s="1364"/>
      <c r="AC105" s="1505"/>
      <c r="AD105" s="1364"/>
      <c r="AE105" s="1364"/>
      <c r="AF105" s="1364"/>
      <c r="AG105" s="1360"/>
      <c r="AH105" s="1366"/>
      <c r="AI105" s="1499"/>
      <c r="AJ105" s="1370"/>
      <c r="AK105" s="1501"/>
      <c r="AL105" s="1503"/>
      <c r="AM105" s="1495"/>
      <c r="AN105" s="1476"/>
      <c r="AO105" s="1497"/>
      <c r="AP105" s="1476"/>
      <c r="AQ105" s="1478"/>
      <c r="AR105" s="1480"/>
      <c r="AS105" s="575"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1"/>
      <c r="AU105" s="1303"/>
      <c r="AV105" s="555" t="str">
        <f>IF('別紙様式2-2（４・５月分）'!N82="","",'別紙様式2-2（４・５月分）'!N82)</f>
        <v/>
      </c>
      <c r="AW105" s="1305"/>
      <c r="AX105" s="576"/>
      <c r="AY105" s="1222" t="str">
        <f>IF(OR(T105="新加算Ⅰ",T105="新加算Ⅱ",T105="新加算Ⅲ",T105="新加算Ⅳ",T105="新加算Ⅴ（１）",T105="新加算Ⅴ（２）",T105="新加算Ⅴ（３）",T105="新加算ⅠⅤ（４）",T105="新加算Ⅴ（５）",T105="新加算Ⅴ（６）",T105="新加算Ⅴ（８）",T105="新加算Ⅴ（11）"),IF(AI105="○","","未入力"),"")</f>
        <v/>
      </c>
      <c r="AZ105" s="1222" t="str">
        <f>IF(OR(U105="新加算Ⅰ",U105="新加算Ⅱ",U105="新加算Ⅲ",U105="新加算Ⅳ",U105="新加算Ⅴ（１）",U105="新加算Ⅴ（２）",U105="新加算Ⅴ（３）",U105="新加算ⅠⅤ（４）",U105="新加算Ⅴ（５）",U105="新加算Ⅴ（６）",U105="新加算Ⅴ（８）",U105="新加算Ⅴ（11）"),IF(AJ105="○","","未入力"),"")</f>
        <v/>
      </c>
      <c r="BA105" s="1222" t="str">
        <f>IF(OR(U105="新加算Ⅴ（７）",U105="新加算Ⅴ（９）",U105="新加算Ⅴ（10）",U105="新加算Ⅴ（12）",U105="新加算Ⅴ（13）",U105="新加算Ⅴ（14）"),IF(AK105="○","","未入力"),"")</f>
        <v/>
      </c>
      <c r="BB105" s="1222" t="str">
        <f>IF(OR(U105="新加算Ⅰ",U105="新加算Ⅱ",U105="新加算Ⅲ",U105="新加算Ⅴ（１）",U105="新加算Ⅴ（３）",U105="新加算Ⅴ（８）"),IF(AL105="○","","未入力"),"")</f>
        <v/>
      </c>
      <c r="BC105" s="1472"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03" t="str">
        <f>IF(AND(T105&lt;&gt;"（参考）令和７年度の移行予定",OR(U105="新加算Ⅰ",U105="新加算Ⅴ（１）",U105="新加算Ⅴ（２）",U105="新加算Ⅴ（５）",U105="新加算Ⅴ（７）",U105="新加算Ⅴ（10）")),IF(AN105="","未入力",IF(AN105="いずれも取得していない","要件を満たさない","")),"")</f>
        <v/>
      </c>
      <c r="BE105" s="1303" t="str">
        <f>G102</f>
        <v/>
      </c>
      <c r="BF105" s="1303"/>
      <c r="BG105" s="1303"/>
    </row>
    <row r="106" spans="1:59" ht="30" customHeight="1">
      <c r="A106" s="1293">
        <v>24</v>
      </c>
      <c r="B106" s="1232" t="str">
        <f>IF(基本情報入力シート!C77="","",基本情報入力シート!C77)</f>
        <v/>
      </c>
      <c r="C106" s="1233"/>
      <c r="D106" s="1233"/>
      <c r="E106" s="1233"/>
      <c r="F106" s="1234"/>
      <c r="G106" s="1251" t="str">
        <f>IF(基本情報入力シート!M77="","",基本情報入力シート!M77)</f>
        <v/>
      </c>
      <c r="H106" s="1251" t="str">
        <f>IF(基本情報入力シート!R77="","",基本情報入力シート!R77)</f>
        <v/>
      </c>
      <c r="I106" s="1251" t="str">
        <f>IF(基本情報入力シート!W77="","",基本情報入力シート!W77)</f>
        <v/>
      </c>
      <c r="J106" s="1414" t="str">
        <f>IF(基本情報入力シート!X77="","",基本情報入力シート!X77)</f>
        <v/>
      </c>
      <c r="K106" s="1251" t="str">
        <f>IF(基本情報入力シート!Y77="","",基本情報入力シート!Y77)</f>
        <v/>
      </c>
      <c r="L106" s="1427" t="str">
        <f>IF(基本情報入力シート!AB77="","",基本情報入力シート!AB77)</f>
        <v/>
      </c>
      <c r="M106" s="550" t="str">
        <f>IF('別紙様式2-2（４・５月分）'!P83="","",'別紙様式2-2（４・５月分）'!P83)</f>
        <v/>
      </c>
      <c r="N106" s="1391" t="str">
        <f>IF(SUM('別紙様式2-2（４・５月分）'!Q83:Q85)=0,"",SUM('別紙様式2-2（４・５月分）'!Q83:Q85))</f>
        <v/>
      </c>
      <c r="O106" s="1395" t="str">
        <f>IFERROR(VLOOKUP('別紙様式2-2（４・５月分）'!AQ83,【参考】数式用!$AR$5:$AS$22,2,FALSE),"")</f>
        <v/>
      </c>
      <c r="P106" s="1396"/>
      <c r="Q106" s="1397"/>
      <c r="R106" s="1531" t="str">
        <f>IFERROR(VLOOKUP(K106,【参考】数式用!$A$5:$AB$37,MATCH(O106,【参考】数式用!$B$4:$AB$4,0)+1,0),"")</f>
        <v/>
      </c>
      <c r="S106" s="1403" t="s">
        <v>2102</v>
      </c>
      <c r="T106" s="1527" t="str">
        <f>IF('別紙様式2-3（６月以降分）'!T106="","",'別紙様式2-3（６月以降分）'!T106)</f>
        <v/>
      </c>
      <c r="U106" s="1529" t="str">
        <f>IFERROR(VLOOKUP(K106,【参考】数式用!$A$5:$AB$37,MATCH(T106,【参考】数式用!$B$4:$AB$4,0)+1,0),"")</f>
        <v/>
      </c>
      <c r="V106" s="1409" t="s">
        <v>15</v>
      </c>
      <c r="W106" s="1525">
        <f>'別紙様式2-3（６月以降分）'!W106</f>
        <v>6</v>
      </c>
      <c r="X106" s="1349" t="s">
        <v>10</v>
      </c>
      <c r="Y106" s="1525">
        <f>'別紙様式2-3（６月以降分）'!Y106</f>
        <v>6</v>
      </c>
      <c r="Z106" s="1349" t="s">
        <v>38</v>
      </c>
      <c r="AA106" s="1525">
        <f>'別紙様式2-3（６月以降分）'!AA106</f>
        <v>7</v>
      </c>
      <c r="AB106" s="1349" t="s">
        <v>10</v>
      </c>
      <c r="AC106" s="1525">
        <f>'別紙様式2-3（６月以降分）'!AC106</f>
        <v>3</v>
      </c>
      <c r="AD106" s="1349" t="s">
        <v>2020</v>
      </c>
      <c r="AE106" s="1349" t="s">
        <v>20</v>
      </c>
      <c r="AF106" s="1349">
        <f>IF(W106&gt;=1,(AA106*12+AC106)-(W106*12+Y106)+1,"")</f>
        <v>10</v>
      </c>
      <c r="AG106" s="1351" t="s">
        <v>33</v>
      </c>
      <c r="AH106" s="1517" t="str">
        <f>'別紙様式2-3（６月以降分）'!AH106</f>
        <v/>
      </c>
      <c r="AI106" s="1519" t="str">
        <f>'別紙様式2-3（６月以降分）'!AI106</f>
        <v/>
      </c>
      <c r="AJ106" s="1521">
        <f>'別紙様式2-3（６月以降分）'!AJ106</f>
        <v>0</v>
      </c>
      <c r="AK106" s="1523" t="str">
        <f>IF('別紙様式2-3（６月以降分）'!AK106="","",'別紙様式2-3（６月以降分）'!AK106)</f>
        <v/>
      </c>
      <c r="AL106" s="1512">
        <f>'別紙様式2-3（６月以降分）'!AL106</f>
        <v>0</v>
      </c>
      <c r="AM106" s="1514" t="str">
        <f>IF('別紙様式2-3（６月以降分）'!AM106="","",'別紙様式2-3（６月以降分）'!AM106)</f>
        <v/>
      </c>
      <c r="AN106" s="1333" t="str">
        <f>IF('別紙様式2-3（６月以降分）'!AN106="","",'別紙様式2-3（６月以降分）'!AN106)</f>
        <v/>
      </c>
      <c r="AO106" s="1331" t="str">
        <f>IF('別紙様式2-3（６月以降分）'!AO106="","",'別紙様式2-3（６月以降分）'!AO106)</f>
        <v/>
      </c>
      <c r="AP106" s="1333" t="str">
        <f>IF('別紙様式2-3（６月以降分）'!AP106="","",'別紙様式2-3（６月以降分）'!AP106)</f>
        <v/>
      </c>
      <c r="AQ106" s="1481" t="str">
        <f>IF('別紙様式2-3（６月以降分）'!AQ106="","",'別紙様式2-3（６月以降分）'!AQ106)</f>
        <v/>
      </c>
      <c r="AR106" s="1484" t="str">
        <f>IF('別紙様式2-3（６月以降分）'!AR106="","",'別紙様式2-3（６月以降分）'!AR106)</f>
        <v/>
      </c>
      <c r="AS106" s="570" t="str">
        <f t="shared" ref="AS106" si="154">IF(AU108="","",IF(U108&lt;U106,"！加算の要件上は問題ありませんが、令和６年度当初の新加算の加算率と比較して、移行後の加算率が下がる計画になっています。",""))</f>
        <v/>
      </c>
      <c r="AT106" s="577"/>
      <c r="AU106" s="1301"/>
      <c r="AV106" s="555" t="str">
        <f>IF('別紙様式2-2（４・５月分）'!N83="","",'別紙様式2-2（４・５月分）'!N83)</f>
        <v/>
      </c>
      <c r="AW106" s="1305" t="str">
        <f>IF(SUM('別紙様式2-2（４・５月分）'!O83:O85)=0,"",SUM('別紙様式2-2（４・５月分）'!O83:O85))</f>
        <v/>
      </c>
      <c r="AX106" s="1473" t="str">
        <f>IFERROR(VLOOKUP(K106,【参考】数式用!$AH$2:$AI$34,2,FALSE),"")</f>
        <v/>
      </c>
      <c r="AY106" s="493"/>
      <c r="BD106" s="340"/>
      <c r="BE106" s="1303" t="str">
        <f>G106</f>
        <v/>
      </c>
      <c r="BF106" s="1303"/>
      <c r="BG106" s="1303"/>
    </row>
    <row r="107" spans="1:59" ht="15" customHeight="1">
      <c r="A107" s="1267"/>
      <c r="B107" s="1235"/>
      <c r="C107" s="1236"/>
      <c r="D107" s="1236"/>
      <c r="E107" s="1236"/>
      <c r="F107" s="1237"/>
      <c r="G107" s="1252"/>
      <c r="H107" s="1252"/>
      <c r="I107" s="1252"/>
      <c r="J107" s="1415"/>
      <c r="K107" s="1252"/>
      <c r="L107" s="1421"/>
      <c r="M107" s="1371" t="str">
        <f>IF('別紙様式2-2（４・５月分）'!P84="","",'別紙様式2-2（４・５月分）'!P84)</f>
        <v/>
      </c>
      <c r="N107" s="1392"/>
      <c r="O107" s="1398"/>
      <c r="P107" s="1399"/>
      <c r="Q107" s="1400"/>
      <c r="R107" s="1532"/>
      <c r="S107" s="1404"/>
      <c r="T107" s="1528"/>
      <c r="U107" s="1530"/>
      <c r="V107" s="1410"/>
      <c r="W107" s="1526"/>
      <c r="X107" s="1350"/>
      <c r="Y107" s="1526"/>
      <c r="Z107" s="1350"/>
      <c r="AA107" s="1526"/>
      <c r="AB107" s="1350"/>
      <c r="AC107" s="1526"/>
      <c r="AD107" s="1350"/>
      <c r="AE107" s="1350"/>
      <c r="AF107" s="1350"/>
      <c r="AG107" s="1352"/>
      <c r="AH107" s="1518"/>
      <c r="AI107" s="1520"/>
      <c r="AJ107" s="1522"/>
      <c r="AK107" s="1524"/>
      <c r="AL107" s="1513"/>
      <c r="AM107" s="1515"/>
      <c r="AN107" s="1334"/>
      <c r="AO107" s="1516"/>
      <c r="AP107" s="1334"/>
      <c r="AQ107" s="1482"/>
      <c r="AR107" s="1485"/>
      <c r="AS107" s="1483" t="str">
        <f t="shared" ref="AS107" si="155">IF(AU108="","",IF(OR(AA108="",AA108&lt;&gt;7,AC108="",AC108&lt;&gt;3),"！算定期間の終わりが令和７年３月になっていません。年度内の廃止予定等がなければ、算定対象月を令和７年３月にしてください。",""))</f>
        <v/>
      </c>
      <c r="AT107" s="577"/>
      <c r="AU107" s="1303"/>
      <c r="AV107" s="1304" t="str">
        <f>IF('別紙様式2-2（４・５月分）'!N84="","",'別紙様式2-2（４・５月分）'!N84)</f>
        <v/>
      </c>
      <c r="AW107" s="1305"/>
      <c r="AX107" s="1474"/>
      <c r="AY107" s="430"/>
      <c r="BD107" s="340"/>
      <c r="BE107" s="1303" t="str">
        <f>G106</f>
        <v/>
      </c>
      <c r="BF107" s="1303"/>
      <c r="BG107" s="1303"/>
    </row>
    <row r="108" spans="1:59" ht="15" customHeight="1">
      <c r="A108" s="1295"/>
      <c r="B108" s="1235"/>
      <c r="C108" s="1236"/>
      <c r="D108" s="1236"/>
      <c r="E108" s="1236"/>
      <c r="F108" s="1237"/>
      <c r="G108" s="1252"/>
      <c r="H108" s="1252"/>
      <c r="I108" s="1252"/>
      <c r="J108" s="1415"/>
      <c r="K108" s="1252"/>
      <c r="L108" s="1421"/>
      <c r="M108" s="1372"/>
      <c r="N108" s="1393"/>
      <c r="O108" s="1373" t="s">
        <v>2025</v>
      </c>
      <c r="P108" s="1425" t="str">
        <f>IFERROR(VLOOKUP('別紙様式2-2（４・５月分）'!AQ83,【参考】数式用!$AR$5:$AT$22,3,FALSE),"")</f>
        <v/>
      </c>
      <c r="Q108" s="1377" t="s">
        <v>2036</v>
      </c>
      <c r="R108" s="1508" t="str">
        <f>IFERROR(VLOOKUP(K106,【参考】数式用!$A$5:$AB$37,MATCH(P108,【参考】数式用!$B$4:$AB$4,0)+1,0),"")</f>
        <v/>
      </c>
      <c r="S108" s="1381" t="s">
        <v>2109</v>
      </c>
      <c r="T108" s="1510"/>
      <c r="U108" s="1506" t="str">
        <f>IFERROR(VLOOKUP(K106,【参考】数式用!$A$5:$AB$37,MATCH(T108,【参考】数式用!$B$4:$AB$4,0)+1,0),"")</f>
        <v/>
      </c>
      <c r="V108" s="1387" t="s">
        <v>15</v>
      </c>
      <c r="W108" s="1504"/>
      <c r="X108" s="1363" t="s">
        <v>10</v>
      </c>
      <c r="Y108" s="1504"/>
      <c r="Z108" s="1363" t="s">
        <v>38</v>
      </c>
      <c r="AA108" s="1504"/>
      <c r="AB108" s="1363" t="s">
        <v>10</v>
      </c>
      <c r="AC108" s="1504"/>
      <c r="AD108" s="1363" t="s">
        <v>2020</v>
      </c>
      <c r="AE108" s="1363" t="s">
        <v>20</v>
      </c>
      <c r="AF108" s="1363" t="str">
        <f>IF(W108&gt;=1,(AA108*12+AC108)-(W108*12+Y108)+1,"")</f>
        <v/>
      </c>
      <c r="AG108" s="1359" t="s">
        <v>33</v>
      </c>
      <c r="AH108" s="1365" t="str">
        <f t="shared" ref="AH108" si="156">IFERROR(ROUNDDOWN(ROUND(L106*U108,0),0)*AF108,"")</f>
        <v/>
      </c>
      <c r="AI108" s="1498" t="str">
        <f t="shared" ref="AI108" si="157">IFERROR(ROUNDDOWN(ROUND((L106*(U108-AW106)),0),0)*AF108,"")</f>
        <v/>
      </c>
      <c r="AJ108" s="1369" t="str">
        <f>IFERROR(ROUNDDOWN(ROUNDDOWN(ROUND(L106*VLOOKUP(K106,【参考】数式用!$A$5:$AB$27,MATCH("新加算Ⅳ",【参考】数式用!$B$4:$AB$4,0)+1,0),0),0)*AF108*0.5,0),"")</f>
        <v/>
      </c>
      <c r="AK108" s="1500"/>
      <c r="AL108" s="1502" t="str">
        <f>IFERROR(IF('別紙様式2-2（４・５月分）'!P108="ベア加算","", IF(OR(T108="新加算Ⅰ",T108="新加算Ⅱ",T108="新加算Ⅲ",T108="新加算Ⅳ"),ROUNDDOWN(ROUND(L106*VLOOKUP(K106,【参考】数式用!$A$5:$I$27,MATCH("ベア加算",【参考】数式用!$B$4:$I$4,0)+1,0),0),0)*AF108,"")),"")</f>
        <v/>
      </c>
      <c r="AM108" s="1494"/>
      <c r="AN108" s="1475"/>
      <c r="AO108" s="1496"/>
      <c r="AP108" s="1475"/>
      <c r="AQ108" s="1477"/>
      <c r="AR108" s="1479"/>
      <c r="AS108" s="1483"/>
      <c r="AT108" s="451"/>
      <c r="AU108" s="1303" t="str">
        <f>IF(AND(AA106&lt;&gt;7,AC106&lt;&gt;3),"V列に色付け","")</f>
        <v/>
      </c>
      <c r="AV108" s="1304"/>
      <c r="AW108" s="1305"/>
      <c r="AX108" s="574"/>
      <c r="AY108" s="1222" t="str">
        <f>IF(AL108&lt;&gt;"",IF(AM108="○","入力済","未入力"),"")</f>
        <v/>
      </c>
      <c r="AZ108" s="1222"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2" t="str">
        <f>IF(OR(T108="新加算Ⅴ（７）",T108="新加算Ⅴ（９）",T108="新加算Ⅴ（10）",T108="新加算Ⅴ（12）",T108="新加算Ⅴ（13）",T108="新加算Ⅴ（14）"),IF(OR(AO108="○",AO108="令和６年度中に満たす"),"入力済","未入力"),"")</f>
        <v/>
      </c>
      <c r="BB108" s="1222" t="str">
        <f>IF(OR(T108="新加算Ⅰ",T108="新加算Ⅱ",T108="新加算Ⅲ",T108="新加算Ⅴ（１）",T108="新加算Ⅴ（３）",T108="新加算Ⅴ（８）"),IF(OR(AP108="○",AP108="令和６年度中に満たす"),"入力済","未入力"),"")</f>
        <v/>
      </c>
      <c r="BC108" s="1472"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03" t="str">
        <f>IF(OR(T108="新加算Ⅰ",T108="新加算Ⅴ（１）",T108="新加算Ⅴ（２）",T108="新加算Ⅴ（５）",T108="新加算Ⅴ（７）",T108="新加算Ⅴ（10）"),IF(AR108="","未入力","入力済"),"")</f>
        <v/>
      </c>
      <c r="BE108" s="1303" t="str">
        <f>G106</f>
        <v/>
      </c>
      <c r="BF108" s="1303"/>
      <c r="BG108" s="1303"/>
    </row>
    <row r="109" spans="1:59" ht="30" customHeight="1" thickBot="1">
      <c r="A109" s="1268"/>
      <c r="B109" s="1411"/>
      <c r="C109" s="1412"/>
      <c r="D109" s="1412"/>
      <c r="E109" s="1412"/>
      <c r="F109" s="1413"/>
      <c r="G109" s="1253"/>
      <c r="H109" s="1253"/>
      <c r="I109" s="1253"/>
      <c r="J109" s="1416"/>
      <c r="K109" s="1253"/>
      <c r="L109" s="1422"/>
      <c r="M109" s="553" t="str">
        <f>IF('別紙様式2-2（４・５月分）'!P85="","",'別紙様式2-2（４・５月分）'!P85)</f>
        <v/>
      </c>
      <c r="N109" s="1394"/>
      <c r="O109" s="1374"/>
      <c r="P109" s="1426"/>
      <c r="Q109" s="1378"/>
      <c r="R109" s="1509"/>
      <c r="S109" s="1382"/>
      <c r="T109" s="1511"/>
      <c r="U109" s="1507"/>
      <c r="V109" s="1388"/>
      <c r="W109" s="1505"/>
      <c r="X109" s="1364"/>
      <c r="Y109" s="1505"/>
      <c r="Z109" s="1364"/>
      <c r="AA109" s="1505"/>
      <c r="AB109" s="1364"/>
      <c r="AC109" s="1505"/>
      <c r="AD109" s="1364"/>
      <c r="AE109" s="1364"/>
      <c r="AF109" s="1364"/>
      <c r="AG109" s="1360"/>
      <c r="AH109" s="1366"/>
      <c r="AI109" s="1499"/>
      <c r="AJ109" s="1370"/>
      <c r="AK109" s="1501"/>
      <c r="AL109" s="1503"/>
      <c r="AM109" s="1495"/>
      <c r="AN109" s="1476"/>
      <c r="AO109" s="1497"/>
      <c r="AP109" s="1476"/>
      <c r="AQ109" s="1478"/>
      <c r="AR109" s="1480"/>
      <c r="AS109" s="575"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1"/>
      <c r="AU109" s="1303"/>
      <c r="AV109" s="555" t="str">
        <f>IF('別紙様式2-2（４・５月分）'!N85="","",'別紙様式2-2（４・５月分）'!N85)</f>
        <v/>
      </c>
      <c r="AW109" s="1305"/>
      <c r="AX109" s="576"/>
      <c r="AY109" s="1222" t="str">
        <f>IF(OR(T109="新加算Ⅰ",T109="新加算Ⅱ",T109="新加算Ⅲ",T109="新加算Ⅳ",T109="新加算Ⅴ（１）",T109="新加算Ⅴ（２）",T109="新加算Ⅴ（３）",T109="新加算ⅠⅤ（４）",T109="新加算Ⅴ（５）",T109="新加算Ⅴ（６）",T109="新加算Ⅴ（８）",T109="新加算Ⅴ（11）"),IF(AI109="○","","未入力"),"")</f>
        <v/>
      </c>
      <c r="AZ109" s="1222" t="str">
        <f>IF(OR(U109="新加算Ⅰ",U109="新加算Ⅱ",U109="新加算Ⅲ",U109="新加算Ⅳ",U109="新加算Ⅴ（１）",U109="新加算Ⅴ（２）",U109="新加算Ⅴ（３）",U109="新加算ⅠⅤ（４）",U109="新加算Ⅴ（５）",U109="新加算Ⅴ（６）",U109="新加算Ⅴ（８）",U109="新加算Ⅴ（11）"),IF(AJ109="○","","未入力"),"")</f>
        <v/>
      </c>
      <c r="BA109" s="1222" t="str">
        <f>IF(OR(U109="新加算Ⅴ（７）",U109="新加算Ⅴ（９）",U109="新加算Ⅴ（10）",U109="新加算Ⅴ（12）",U109="新加算Ⅴ（13）",U109="新加算Ⅴ（14）"),IF(AK109="○","","未入力"),"")</f>
        <v/>
      </c>
      <c r="BB109" s="1222" t="str">
        <f>IF(OR(U109="新加算Ⅰ",U109="新加算Ⅱ",U109="新加算Ⅲ",U109="新加算Ⅴ（１）",U109="新加算Ⅴ（３）",U109="新加算Ⅴ（８）"),IF(AL109="○","","未入力"),"")</f>
        <v/>
      </c>
      <c r="BC109" s="1472"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03" t="str">
        <f>IF(AND(T109&lt;&gt;"（参考）令和７年度の移行予定",OR(U109="新加算Ⅰ",U109="新加算Ⅴ（１）",U109="新加算Ⅴ（２）",U109="新加算Ⅴ（５）",U109="新加算Ⅴ（７）",U109="新加算Ⅴ（10）")),IF(AN109="","未入力",IF(AN109="いずれも取得していない","要件を満たさない","")),"")</f>
        <v/>
      </c>
      <c r="BE109" s="1303" t="str">
        <f>G106</f>
        <v/>
      </c>
      <c r="BF109" s="1303"/>
      <c r="BG109" s="1303"/>
    </row>
    <row r="110" spans="1:59" ht="30" customHeight="1">
      <c r="A110" s="1266">
        <v>25</v>
      </c>
      <c r="B110" s="1235" t="str">
        <f>IF(基本情報入力シート!C78="","",基本情報入力シート!C78)</f>
        <v/>
      </c>
      <c r="C110" s="1236"/>
      <c r="D110" s="1236"/>
      <c r="E110" s="1236"/>
      <c r="F110" s="1237"/>
      <c r="G110" s="1252" t="str">
        <f>IF(基本情報入力シート!M78="","",基本情報入力シート!M78)</f>
        <v/>
      </c>
      <c r="H110" s="1252" t="str">
        <f>IF(基本情報入力シート!R78="","",基本情報入力シート!R78)</f>
        <v/>
      </c>
      <c r="I110" s="1252" t="str">
        <f>IF(基本情報入力シート!W78="","",基本情報入力シート!W78)</f>
        <v/>
      </c>
      <c r="J110" s="1415" t="str">
        <f>IF(基本情報入力シート!X78="","",基本情報入力シート!X78)</f>
        <v/>
      </c>
      <c r="K110" s="1252" t="str">
        <f>IF(基本情報入力シート!Y78="","",基本情報入力シート!Y78)</f>
        <v/>
      </c>
      <c r="L110" s="1421" t="str">
        <f>IF(基本情報入力シート!AB78="","",基本情報入力シート!AB78)</f>
        <v/>
      </c>
      <c r="M110" s="550" t="str">
        <f>IF('別紙様式2-2（４・５月分）'!P86="","",'別紙様式2-2（４・５月分）'!P86)</f>
        <v/>
      </c>
      <c r="N110" s="1391" t="str">
        <f>IF(SUM('別紙様式2-2（４・５月分）'!Q86:Q88)=0,"",SUM('別紙様式2-2（４・５月分）'!Q86:Q88))</f>
        <v/>
      </c>
      <c r="O110" s="1395" t="str">
        <f>IFERROR(VLOOKUP('別紙様式2-2（４・５月分）'!AQ86,【参考】数式用!$AR$5:$AS$22,2,FALSE),"")</f>
        <v/>
      </c>
      <c r="P110" s="1396"/>
      <c r="Q110" s="1397"/>
      <c r="R110" s="1531" t="str">
        <f>IFERROR(VLOOKUP(K110,【参考】数式用!$A$5:$AB$37,MATCH(O110,【参考】数式用!$B$4:$AB$4,0)+1,0),"")</f>
        <v/>
      </c>
      <c r="S110" s="1403" t="s">
        <v>2102</v>
      </c>
      <c r="T110" s="1527" t="str">
        <f>IF('別紙様式2-3（６月以降分）'!T110="","",'別紙様式2-3（６月以降分）'!T110)</f>
        <v/>
      </c>
      <c r="U110" s="1529" t="str">
        <f>IFERROR(VLOOKUP(K110,【参考】数式用!$A$5:$AB$37,MATCH(T110,【参考】数式用!$B$4:$AB$4,0)+1,0),"")</f>
        <v/>
      </c>
      <c r="V110" s="1409" t="s">
        <v>15</v>
      </c>
      <c r="W110" s="1525">
        <f>'別紙様式2-3（６月以降分）'!W110</f>
        <v>6</v>
      </c>
      <c r="X110" s="1349" t="s">
        <v>10</v>
      </c>
      <c r="Y110" s="1525">
        <f>'別紙様式2-3（６月以降分）'!Y110</f>
        <v>6</v>
      </c>
      <c r="Z110" s="1349" t="s">
        <v>38</v>
      </c>
      <c r="AA110" s="1525">
        <f>'別紙様式2-3（６月以降分）'!AA110</f>
        <v>7</v>
      </c>
      <c r="AB110" s="1349" t="s">
        <v>10</v>
      </c>
      <c r="AC110" s="1525">
        <f>'別紙様式2-3（６月以降分）'!AC110</f>
        <v>3</v>
      </c>
      <c r="AD110" s="1349" t="s">
        <v>2020</v>
      </c>
      <c r="AE110" s="1349" t="s">
        <v>20</v>
      </c>
      <c r="AF110" s="1349">
        <f>IF(W110&gt;=1,(AA110*12+AC110)-(W110*12+Y110)+1,"")</f>
        <v>10</v>
      </c>
      <c r="AG110" s="1351" t="s">
        <v>33</v>
      </c>
      <c r="AH110" s="1517" t="str">
        <f>'別紙様式2-3（６月以降分）'!AH110</f>
        <v/>
      </c>
      <c r="AI110" s="1519" t="str">
        <f>'別紙様式2-3（６月以降分）'!AI110</f>
        <v/>
      </c>
      <c r="AJ110" s="1521">
        <f>'別紙様式2-3（６月以降分）'!AJ110</f>
        <v>0</v>
      </c>
      <c r="AK110" s="1523" t="str">
        <f>IF('別紙様式2-3（６月以降分）'!AK110="","",'別紙様式2-3（６月以降分）'!AK110)</f>
        <v/>
      </c>
      <c r="AL110" s="1512">
        <f>'別紙様式2-3（６月以降分）'!AL110</f>
        <v>0</v>
      </c>
      <c r="AM110" s="1514" t="str">
        <f>IF('別紙様式2-3（６月以降分）'!AM110="","",'別紙様式2-3（６月以降分）'!AM110)</f>
        <v/>
      </c>
      <c r="AN110" s="1333" t="str">
        <f>IF('別紙様式2-3（６月以降分）'!AN110="","",'別紙様式2-3（６月以降分）'!AN110)</f>
        <v/>
      </c>
      <c r="AO110" s="1331" t="str">
        <f>IF('別紙様式2-3（６月以降分）'!AO110="","",'別紙様式2-3（６月以降分）'!AO110)</f>
        <v/>
      </c>
      <c r="AP110" s="1333" t="str">
        <f>IF('別紙様式2-3（６月以降分）'!AP110="","",'別紙様式2-3（６月以降分）'!AP110)</f>
        <v/>
      </c>
      <c r="AQ110" s="1481" t="str">
        <f>IF('別紙様式2-3（６月以降分）'!AQ110="","",'別紙様式2-3（６月以降分）'!AQ110)</f>
        <v/>
      </c>
      <c r="AR110" s="1484" t="str">
        <f>IF('別紙様式2-3（６月以降分）'!AR110="","",'別紙様式2-3（６月以降分）'!AR110)</f>
        <v/>
      </c>
      <c r="AS110" s="570" t="str">
        <f t="shared" ref="AS110" si="161">IF(AU112="","",IF(U112&lt;U110,"！加算の要件上は問題ありませんが、令和６年度当初の新加算の加算率と比較して、移行後の加算率が下がる計画になっています。",""))</f>
        <v/>
      </c>
      <c r="AT110" s="577"/>
      <c r="AU110" s="1301"/>
      <c r="AV110" s="555" t="str">
        <f>IF('別紙様式2-2（４・５月分）'!N86="","",'別紙様式2-2（４・５月分）'!N86)</f>
        <v/>
      </c>
      <c r="AW110" s="1305" t="str">
        <f>IF(SUM('別紙様式2-2（４・５月分）'!O86:O88)=0,"",SUM('別紙様式2-2（４・５月分）'!O86:O88))</f>
        <v/>
      </c>
      <c r="AX110" s="1473" t="str">
        <f>IFERROR(VLOOKUP(K110,【参考】数式用!$AH$2:$AI$34,2,FALSE),"")</f>
        <v/>
      </c>
      <c r="AY110" s="493"/>
      <c r="BD110" s="340"/>
      <c r="BE110" s="1303" t="str">
        <f>G110</f>
        <v/>
      </c>
      <c r="BF110" s="1303"/>
      <c r="BG110" s="1303"/>
    </row>
    <row r="111" spans="1:59" ht="15" customHeight="1">
      <c r="A111" s="1267"/>
      <c r="B111" s="1235"/>
      <c r="C111" s="1236"/>
      <c r="D111" s="1236"/>
      <c r="E111" s="1236"/>
      <c r="F111" s="1237"/>
      <c r="G111" s="1252"/>
      <c r="H111" s="1252"/>
      <c r="I111" s="1252"/>
      <c r="J111" s="1415"/>
      <c r="K111" s="1252"/>
      <c r="L111" s="1421"/>
      <c r="M111" s="1371" t="str">
        <f>IF('別紙様式2-2（４・５月分）'!P87="","",'別紙様式2-2（４・５月分）'!P87)</f>
        <v/>
      </c>
      <c r="N111" s="1392"/>
      <c r="O111" s="1398"/>
      <c r="P111" s="1399"/>
      <c r="Q111" s="1400"/>
      <c r="R111" s="1532"/>
      <c r="S111" s="1404"/>
      <c r="T111" s="1528"/>
      <c r="U111" s="1530"/>
      <c r="V111" s="1410"/>
      <c r="W111" s="1526"/>
      <c r="X111" s="1350"/>
      <c r="Y111" s="1526"/>
      <c r="Z111" s="1350"/>
      <c r="AA111" s="1526"/>
      <c r="AB111" s="1350"/>
      <c r="AC111" s="1526"/>
      <c r="AD111" s="1350"/>
      <c r="AE111" s="1350"/>
      <c r="AF111" s="1350"/>
      <c r="AG111" s="1352"/>
      <c r="AH111" s="1518"/>
      <c r="AI111" s="1520"/>
      <c r="AJ111" s="1522"/>
      <c r="AK111" s="1524"/>
      <c r="AL111" s="1513"/>
      <c r="AM111" s="1515"/>
      <c r="AN111" s="1334"/>
      <c r="AO111" s="1516"/>
      <c r="AP111" s="1334"/>
      <c r="AQ111" s="1482"/>
      <c r="AR111" s="1485"/>
      <c r="AS111" s="1483" t="str">
        <f t="shared" ref="AS111" si="162">IF(AU112="","",IF(OR(AA112="",AA112&lt;&gt;7,AC112="",AC112&lt;&gt;3),"！算定期間の終わりが令和７年３月になっていません。年度内の廃止予定等がなければ、算定対象月を令和７年３月にしてください。",""))</f>
        <v/>
      </c>
      <c r="AT111" s="577"/>
      <c r="AU111" s="1303"/>
      <c r="AV111" s="1304" t="str">
        <f>IF('別紙様式2-2（４・５月分）'!N87="","",'別紙様式2-2（４・５月分）'!N87)</f>
        <v/>
      </c>
      <c r="AW111" s="1305"/>
      <c r="AX111" s="1474"/>
      <c r="AY111" s="430"/>
      <c r="BD111" s="340"/>
      <c r="BE111" s="1303" t="str">
        <f>G110</f>
        <v/>
      </c>
      <c r="BF111" s="1303"/>
      <c r="BG111" s="1303"/>
    </row>
    <row r="112" spans="1:59" ht="15" customHeight="1">
      <c r="A112" s="1295"/>
      <c r="B112" s="1235"/>
      <c r="C112" s="1236"/>
      <c r="D112" s="1236"/>
      <c r="E112" s="1236"/>
      <c r="F112" s="1237"/>
      <c r="G112" s="1252"/>
      <c r="H112" s="1252"/>
      <c r="I112" s="1252"/>
      <c r="J112" s="1415"/>
      <c r="K112" s="1252"/>
      <c r="L112" s="1421"/>
      <c r="M112" s="1372"/>
      <c r="N112" s="1393"/>
      <c r="O112" s="1373" t="s">
        <v>2025</v>
      </c>
      <c r="P112" s="1425" t="str">
        <f>IFERROR(VLOOKUP('別紙様式2-2（４・５月分）'!AQ86,【参考】数式用!$AR$5:$AT$22,3,FALSE),"")</f>
        <v/>
      </c>
      <c r="Q112" s="1377" t="s">
        <v>2036</v>
      </c>
      <c r="R112" s="1508" t="str">
        <f>IFERROR(VLOOKUP(K110,【参考】数式用!$A$5:$AB$37,MATCH(P112,【参考】数式用!$B$4:$AB$4,0)+1,0),"")</f>
        <v/>
      </c>
      <c r="S112" s="1381" t="s">
        <v>2109</v>
      </c>
      <c r="T112" s="1510"/>
      <c r="U112" s="1506" t="str">
        <f>IFERROR(VLOOKUP(K110,【参考】数式用!$A$5:$AB$37,MATCH(T112,【参考】数式用!$B$4:$AB$4,0)+1,0),"")</f>
        <v/>
      </c>
      <c r="V112" s="1387" t="s">
        <v>15</v>
      </c>
      <c r="W112" s="1504"/>
      <c r="X112" s="1363" t="s">
        <v>10</v>
      </c>
      <c r="Y112" s="1504"/>
      <c r="Z112" s="1363" t="s">
        <v>38</v>
      </c>
      <c r="AA112" s="1504"/>
      <c r="AB112" s="1363" t="s">
        <v>10</v>
      </c>
      <c r="AC112" s="1504"/>
      <c r="AD112" s="1363" t="s">
        <v>2020</v>
      </c>
      <c r="AE112" s="1363" t="s">
        <v>20</v>
      </c>
      <c r="AF112" s="1363" t="str">
        <f>IF(W112&gt;=1,(AA112*12+AC112)-(W112*12+Y112)+1,"")</f>
        <v/>
      </c>
      <c r="AG112" s="1359" t="s">
        <v>33</v>
      </c>
      <c r="AH112" s="1365" t="str">
        <f t="shared" ref="AH112" si="163">IFERROR(ROUNDDOWN(ROUND(L110*U112,0),0)*AF112,"")</f>
        <v/>
      </c>
      <c r="AI112" s="1498" t="str">
        <f t="shared" ref="AI112" si="164">IFERROR(ROUNDDOWN(ROUND((L110*(U112-AW110)),0),0)*AF112,"")</f>
        <v/>
      </c>
      <c r="AJ112" s="1369" t="str">
        <f>IFERROR(ROUNDDOWN(ROUNDDOWN(ROUND(L110*VLOOKUP(K110,【参考】数式用!$A$5:$AB$27,MATCH("新加算Ⅳ",【参考】数式用!$B$4:$AB$4,0)+1,0),0),0)*AF112*0.5,0),"")</f>
        <v/>
      </c>
      <c r="AK112" s="1500"/>
      <c r="AL112" s="1502" t="str">
        <f>IFERROR(IF('別紙様式2-2（４・５月分）'!P112="ベア加算","", IF(OR(T112="新加算Ⅰ",T112="新加算Ⅱ",T112="新加算Ⅲ",T112="新加算Ⅳ"),ROUNDDOWN(ROUND(L110*VLOOKUP(K110,【参考】数式用!$A$5:$I$27,MATCH("ベア加算",【参考】数式用!$B$4:$I$4,0)+1,0),0),0)*AF112,"")),"")</f>
        <v/>
      </c>
      <c r="AM112" s="1494"/>
      <c r="AN112" s="1475"/>
      <c r="AO112" s="1496"/>
      <c r="AP112" s="1475"/>
      <c r="AQ112" s="1477"/>
      <c r="AR112" s="1479"/>
      <c r="AS112" s="1483"/>
      <c r="AT112" s="451"/>
      <c r="AU112" s="1303" t="str">
        <f>IF(AND(AA110&lt;&gt;7,AC110&lt;&gt;3),"V列に色付け","")</f>
        <v/>
      </c>
      <c r="AV112" s="1304"/>
      <c r="AW112" s="1305"/>
      <c r="AX112" s="574"/>
      <c r="AY112" s="1222" t="str">
        <f>IF(AL112&lt;&gt;"",IF(AM112="○","入力済","未入力"),"")</f>
        <v/>
      </c>
      <c r="AZ112" s="1222"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2" t="str">
        <f>IF(OR(T112="新加算Ⅴ（７）",T112="新加算Ⅴ（９）",T112="新加算Ⅴ（10）",T112="新加算Ⅴ（12）",T112="新加算Ⅴ（13）",T112="新加算Ⅴ（14）"),IF(OR(AO112="○",AO112="令和６年度中に満たす"),"入力済","未入力"),"")</f>
        <v/>
      </c>
      <c r="BB112" s="1222" t="str">
        <f>IF(OR(T112="新加算Ⅰ",T112="新加算Ⅱ",T112="新加算Ⅲ",T112="新加算Ⅴ（１）",T112="新加算Ⅴ（３）",T112="新加算Ⅴ（８）"),IF(OR(AP112="○",AP112="令和６年度中に満たす"),"入力済","未入力"),"")</f>
        <v/>
      </c>
      <c r="BC112" s="1472"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03" t="str">
        <f>IF(OR(T112="新加算Ⅰ",T112="新加算Ⅴ（１）",T112="新加算Ⅴ（２）",T112="新加算Ⅴ（５）",T112="新加算Ⅴ（７）",T112="新加算Ⅴ（10）"),IF(AR112="","未入力","入力済"),"")</f>
        <v/>
      </c>
      <c r="BE112" s="1303" t="str">
        <f>G110</f>
        <v/>
      </c>
      <c r="BF112" s="1303"/>
      <c r="BG112" s="1303"/>
    </row>
    <row r="113" spans="1:59" ht="30" customHeight="1" thickBot="1">
      <c r="A113" s="1268"/>
      <c r="B113" s="1411"/>
      <c r="C113" s="1412"/>
      <c r="D113" s="1412"/>
      <c r="E113" s="1412"/>
      <c r="F113" s="1413"/>
      <c r="G113" s="1253"/>
      <c r="H113" s="1253"/>
      <c r="I113" s="1253"/>
      <c r="J113" s="1416"/>
      <c r="K113" s="1253"/>
      <c r="L113" s="1422"/>
      <c r="M113" s="553" t="str">
        <f>IF('別紙様式2-2（４・５月分）'!P88="","",'別紙様式2-2（４・５月分）'!P88)</f>
        <v/>
      </c>
      <c r="N113" s="1394"/>
      <c r="O113" s="1374"/>
      <c r="P113" s="1426"/>
      <c r="Q113" s="1378"/>
      <c r="R113" s="1509"/>
      <c r="S113" s="1382"/>
      <c r="T113" s="1511"/>
      <c r="U113" s="1507"/>
      <c r="V113" s="1388"/>
      <c r="W113" s="1505"/>
      <c r="X113" s="1364"/>
      <c r="Y113" s="1505"/>
      <c r="Z113" s="1364"/>
      <c r="AA113" s="1505"/>
      <c r="AB113" s="1364"/>
      <c r="AC113" s="1505"/>
      <c r="AD113" s="1364"/>
      <c r="AE113" s="1364"/>
      <c r="AF113" s="1364"/>
      <c r="AG113" s="1360"/>
      <c r="AH113" s="1366"/>
      <c r="AI113" s="1499"/>
      <c r="AJ113" s="1370"/>
      <c r="AK113" s="1501"/>
      <c r="AL113" s="1503"/>
      <c r="AM113" s="1495"/>
      <c r="AN113" s="1476"/>
      <c r="AO113" s="1497"/>
      <c r="AP113" s="1476"/>
      <c r="AQ113" s="1478"/>
      <c r="AR113" s="1480"/>
      <c r="AS113" s="575"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1"/>
      <c r="AU113" s="1303"/>
      <c r="AV113" s="555" t="str">
        <f>IF('別紙様式2-2（４・５月分）'!N88="","",'別紙様式2-2（４・５月分）'!N88)</f>
        <v/>
      </c>
      <c r="AW113" s="1305"/>
      <c r="AX113" s="576"/>
      <c r="AY113" s="1222" t="str">
        <f>IF(OR(T113="新加算Ⅰ",T113="新加算Ⅱ",T113="新加算Ⅲ",T113="新加算Ⅳ",T113="新加算Ⅴ（１）",T113="新加算Ⅴ（２）",T113="新加算Ⅴ（３）",T113="新加算ⅠⅤ（４）",T113="新加算Ⅴ（５）",T113="新加算Ⅴ（６）",T113="新加算Ⅴ（８）",T113="新加算Ⅴ（11）"),IF(AI113="○","","未入力"),"")</f>
        <v/>
      </c>
      <c r="AZ113" s="1222" t="str">
        <f>IF(OR(U113="新加算Ⅰ",U113="新加算Ⅱ",U113="新加算Ⅲ",U113="新加算Ⅳ",U113="新加算Ⅴ（１）",U113="新加算Ⅴ（２）",U113="新加算Ⅴ（３）",U113="新加算ⅠⅤ（４）",U113="新加算Ⅴ（５）",U113="新加算Ⅴ（６）",U113="新加算Ⅴ（８）",U113="新加算Ⅴ（11）"),IF(AJ113="○","","未入力"),"")</f>
        <v/>
      </c>
      <c r="BA113" s="1222" t="str">
        <f>IF(OR(U113="新加算Ⅴ（７）",U113="新加算Ⅴ（９）",U113="新加算Ⅴ（10）",U113="新加算Ⅴ（12）",U113="新加算Ⅴ（13）",U113="新加算Ⅴ（14）"),IF(AK113="○","","未入力"),"")</f>
        <v/>
      </c>
      <c r="BB113" s="1222" t="str">
        <f>IF(OR(U113="新加算Ⅰ",U113="新加算Ⅱ",U113="新加算Ⅲ",U113="新加算Ⅴ（１）",U113="新加算Ⅴ（３）",U113="新加算Ⅴ（８）"),IF(AL113="○","","未入力"),"")</f>
        <v/>
      </c>
      <c r="BC113" s="1472"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03" t="str">
        <f>IF(AND(T113&lt;&gt;"（参考）令和７年度の移行予定",OR(U113="新加算Ⅰ",U113="新加算Ⅴ（１）",U113="新加算Ⅴ（２）",U113="新加算Ⅴ（５）",U113="新加算Ⅴ（７）",U113="新加算Ⅴ（10）")),IF(AN113="","未入力",IF(AN113="いずれも取得していない","要件を満たさない","")),"")</f>
        <v/>
      </c>
      <c r="BE113" s="1303" t="str">
        <f>G110</f>
        <v/>
      </c>
      <c r="BF113" s="1303"/>
      <c r="BG113" s="1303"/>
    </row>
    <row r="114" spans="1:59" ht="30" customHeight="1">
      <c r="A114" s="1293">
        <v>26</v>
      </c>
      <c r="B114" s="1232" t="str">
        <f>IF(基本情報入力シート!C79="","",基本情報入力シート!C79)</f>
        <v/>
      </c>
      <c r="C114" s="1233"/>
      <c r="D114" s="1233"/>
      <c r="E114" s="1233"/>
      <c r="F114" s="1234"/>
      <c r="G114" s="1251" t="str">
        <f>IF(基本情報入力シート!M79="","",基本情報入力シート!M79)</f>
        <v/>
      </c>
      <c r="H114" s="1251" t="str">
        <f>IF(基本情報入力シート!R79="","",基本情報入力シート!R79)</f>
        <v/>
      </c>
      <c r="I114" s="1251" t="str">
        <f>IF(基本情報入力シート!W79="","",基本情報入力シート!W79)</f>
        <v/>
      </c>
      <c r="J114" s="1414" t="str">
        <f>IF(基本情報入力シート!X79="","",基本情報入力シート!X79)</f>
        <v/>
      </c>
      <c r="K114" s="1251" t="str">
        <f>IF(基本情報入力シート!Y79="","",基本情報入力シート!Y79)</f>
        <v/>
      </c>
      <c r="L114" s="1427" t="str">
        <f>IF(基本情報入力シート!AB79="","",基本情報入力シート!AB79)</f>
        <v/>
      </c>
      <c r="M114" s="550" t="str">
        <f>IF('別紙様式2-2（４・５月分）'!P89="","",'別紙様式2-2（４・５月分）'!P89)</f>
        <v/>
      </c>
      <c r="N114" s="1391" t="str">
        <f>IF(SUM('別紙様式2-2（４・５月分）'!Q89:Q91)=0,"",SUM('別紙様式2-2（４・５月分）'!Q89:Q91))</f>
        <v/>
      </c>
      <c r="O114" s="1395" t="str">
        <f>IFERROR(VLOOKUP('別紙様式2-2（４・５月分）'!AQ89,【参考】数式用!$AR$5:$AS$22,2,FALSE),"")</f>
        <v/>
      </c>
      <c r="P114" s="1396"/>
      <c r="Q114" s="1397"/>
      <c r="R114" s="1531" t="str">
        <f>IFERROR(VLOOKUP(K114,【参考】数式用!$A$5:$AB$37,MATCH(O114,【参考】数式用!$B$4:$AB$4,0)+1,0),"")</f>
        <v/>
      </c>
      <c r="S114" s="1403" t="s">
        <v>2102</v>
      </c>
      <c r="T114" s="1527" t="str">
        <f>IF('別紙様式2-3（６月以降分）'!T114="","",'別紙様式2-3（６月以降分）'!T114)</f>
        <v/>
      </c>
      <c r="U114" s="1529" t="str">
        <f>IFERROR(VLOOKUP(K114,【参考】数式用!$A$5:$AB$37,MATCH(T114,【参考】数式用!$B$4:$AB$4,0)+1,0),"")</f>
        <v/>
      </c>
      <c r="V114" s="1409" t="s">
        <v>15</v>
      </c>
      <c r="W114" s="1525">
        <f>'別紙様式2-3（６月以降分）'!W114</f>
        <v>6</v>
      </c>
      <c r="X114" s="1349" t="s">
        <v>10</v>
      </c>
      <c r="Y114" s="1525">
        <f>'別紙様式2-3（６月以降分）'!Y114</f>
        <v>6</v>
      </c>
      <c r="Z114" s="1349" t="s">
        <v>38</v>
      </c>
      <c r="AA114" s="1525">
        <f>'別紙様式2-3（６月以降分）'!AA114</f>
        <v>7</v>
      </c>
      <c r="AB114" s="1349" t="s">
        <v>10</v>
      </c>
      <c r="AC114" s="1525">
        <f>'別紙様式2-3（６月以降分）'!AC114</f>
        <v>3</v>
      </c>
      <c r="AD114" s="1349" t="s">
        <v>2020</v>
      </c>
      <c r="AE114" s="1349" t="s">
        <v>20</v>
      </c>
      <c r="AF114" s="1349">
        <f>IF(W114&gt;=1,(AA114*12+AC114)-(W114*12+Y114)+1,"")</f>
        <v>10</v>
      </c>
      <c r="AG114" s="1351" t="s">
        <v>33</v>
      </c>
      <c r="AH114" s="1517" t="str">
        <f>'別紙様式2-3（６月以降分）'!AH114</f>
        <v/>
      </c>
      <c r="AI114" s="1519" t="str">
        <f>'別紙様式2-3（６月以降分）'!AI114</f>
        <v/>
      </c>
      <c r="AJ114" s="1521">
        <f>'別紙様式2-3（６月以降分）'!AJ114</f>
        <v>0</v>
      </c>
      <c r="AK114" s="1523" t="str">
        <f>IF('別紙様式2-3（６月以降分）'!AK114="","",'別紙様式2-3（６月以降分）'!AK114)</f>
        <v/>
      </c>
      <c r="AL114" s="1512">
        <f>'別紙様式2-3（６月以降分）'!AL114</f>
        <v>0</v>
      </c>
      <c r="AM114" s="1514" t="str">
        <f>IF('別紙様式2-3（６月以降分）'!AM114="","",'別紙様式2-3（６月以降分）'!AM114)</f>
        <v/>
      </c>
      <c r="AN114" s="1333" t="str">
        <f>IF('別紙様式2-3（６月以降分）'!AN114="","",'別紙様式2-3（６月以降分）'!AN114)</f>
        <v/>
      </c>
      <c r="AO114" s="1331" t="str">
        <f>IF('別紙様式2-3（６月以降分）'!AO114="","",'別紙様式2-3（６月以降分）'!AO114)</f>
        <v/>
      </c>
      <c r="AP114" s="1333" t="str">
        <f>IF('別紙様式2-3（６月以降分）'!AP114="","",'別紙様式2-3（６月以降分）'!AP114)</f>
        <v/>
      </c>
      <c r="AQ114" s="1481" t="str">
        <f>IF('別紙様式2-3（６月以降分）'!AQ114="","",'別紙様式2-3（６月以降分）'!AQ114)</f>
        <v/>
      </c>
      <c r="AR114" s="1484" t="str">
        <f>IF('別紙様式2-3（６月以降分）'!AR114="","",'別紙様式2-3（６月以降分）'!AR114)</f>
        <v/>
      </c>
      <c r="AS114" s="570" t="str">
        <f t="shared" ref="AS114" si="168">IF(AU116="","",IF(U116&lt;U114,"！加算の要件上は問題ありませんが、令和６年度当初の新加算の加算率と比較して、移行後の加算率が下がる計画になっています。",""))</f>
        <v/>
      </c>
      <c r="AT114" s="577"/>
      <c r="AU114" s="1301"/>
      <c r="AV114" s="555" t="str">
        <f>IF('別紙様式2-2（４・５月分）'!N89="","",'別紙様式2-2（４・５月分）'!N89)</f>
        <v/>
      </c>
      <c r="AW114" s="1305" t="str">
        <f>IF(SUM('別紙様式2-2（４・５月分）'!O89:O91)=0,"",SUM('別紙様式2-2（４・５月分）'!O89:O91))</f>
        <v/>
      </c>
      <c r="AX114" s="1473" t="str">
        <f>IFERROR(VLOOKUP(K114,【参考】数式用!$AH$2:$AI$34,2,FALSE),"")</f>
        <v/>
      </c>
      <c r="AY114" s="493"/>
      <c r="BD114" s="340"/>
      <c r="BE114" s="1303" t="str">
        <f>G114</f>
        <v/>
      </c>
      <c r="BF114" s="1303"/>
      <c r="BG114" s="1303"/>
    </row>
    <row r="115" spans="1:59" ht="15" customHeight="1">
      <c r="A115" s="1267"/>
      <c r="B115" s="1235"/>
      <c r="C115" s="1236"/>
      <c r="D115" s="1236"/>
      <c r="E115" s="1236"/>
      <c r="F115" s="1237"/>
      <c r="G115" s="1252"/>
      <c r="H115" s="1252"/>
      <c r="I115" s="1252"/>
      <c r="J115" s="1415"/>
      <c r="K115" s="1252"/>
      <c r="L115" s="1421"/>
      <c r="M115" s="1371" t="str">
        <f>IF('別紙様式2-2（４・５月分）'!P90="","",'別紙様式2-2（４・５月分）'!P90)</f>
        <v/>
      </c>
      <c r="N115" s="1392"/>
      <c r="O115" s="1398"/>
      <c r="P115" s="1399"/>
      <c r="Q115" s="1400"/>
      <c r="R115" s="1532"/>
      <c r="S115" s="1404"/>
      <c r="T115" s="1528"/>
      <c r="U115" s="1530"/>
      <c r="V115" s="1410"/>
      <c r="W115" s="1526"/>
      <c r="X115" s="1350"/>
      <c r="Y115" s="1526"/>
      <c r="Z115" s="1350"/>
      <c r="AA115" s="1526"/>
      <c r="AB115" s="1350"/>
      <c r="AC115" s="1526"/>
      <c r="AD115" s="1350"/>
      <c r="AE115" s="1350"/>
      <c r="AF115" s="1350"/>
      <c r="AG115" s="1352"/>
      <c r="AH115" s="1518"/>
      <c r="AI115" s="1520"/>
      <c r="AJ115" s="1522"/>
      <c r="AK115" s="1524"/>
      <c r="AL115" s="1513"/>
      <c r="AM115" s="1515"/>
      <c r="AN115" s="1334"/>
      <c r="AO115" s="1516"/>
      <c r="AP115" s="1334"/>
      <c r="AQ115" s="1482"/>
      <c r="AR115" s="1485"/>
      <c r="AS115" s="1483" t="str">
        <f t="shared" ref="AS115" si="169">IF(AU116="","",IF(OR(AA116="",AA116&lt;&gt;7,AC116="",AC116&lt;&gt;3),"！算定期間の終わりが令和７年３月になっていません。年度内の廃止予定等がなければ、算定対象月を令和７年３月にしてください。",""))</f>
        <v/>
      </c>
      <c r="AT115" s="577"/>
      <c r="AU115" s="1303"/>
      <c r="AV115" s="1304" t="str">
        <f>IF('別紙様式2-2（４・５月分）'!N90="","",'別紙様式2-2（４・５月分）'!N90)</f>
        <v/>
      </c>
      <c r="AW115" s="1305"/>
      <c r="AX115" s="1474"/>
      <c r="AY115" s="430"/>
      <c r="BD115" s="340"/>
      <c r="BE115" s="1303" t="str">
        <f>G114</f>
        <v/>
      </c>
      <c r="BF115" s="1303"/>
      <c r="BG115" s="1303"/>
    </row>
    <row r="116" spans="1:59" ht="15" customHeight="1">
      <c r="A116" s="1295"/>
      <c r="B116" s="1235"/>
      <c r="C116" s="1236"/>
      <c r="D116" s="1236"/>
      <c r="E116" s="1236"/>
      <c r="F116" s="1237"/>
      <c r="G116" s="1252"/>
      <c r="H116" s="1252"/>
      <c r="I116" s="1252"/>
      <c r="J116" s="1415"/>
      <c r="K116" s="1252"/>
      <c r="L116" s="1421"/>
      <c r="M116" s="1372"/>
      <c r="N116" s="1393"/>
      <c r="O116" s="1373" t="s">
        <v>2025</v>
      </c>
      <c r="P116" s="1425" t="str">
        <f>IFERROR(VLOOKUP('別紙様式2-2（４・５月分）'!AQ89,【参考】数式用!$AR$5:$AT$22,3,FALSE),"")</f>
        <v/>
      </c>
      <c r="Q116" s="1377" t="s">
        <v>2036</v>
      </c>
      <c r="R116" s="1508" t="str">
        <f>IFERROR(VLOOKUP(K114,【参考】数式用!$A$5:$AB$37,MATCH(P116,【参考】数式用!$B$4:$AB$4,0)+1,0),"")</f>
        <v/>
      </c>
      <c r="S116" s="1381" t="s">
        <v>2109</v>
      </c>
      <c r="T116" s="1510"/>
      <c r="U116" s="1506" t="str">
        <f>IFERROR(VLOOKUP(K114,【参考】数式用!$A$5:$AB$37,MATCH(T116,【参考】数式用!$B$4:$AB$4,0)+1,0),"")</f>
        <v/>
      </c>
      <c r="V116" s="1387" t="s">
        <v>15</v>
      </c>
      <c r="W116" s="1504"/>
      <c r="X116" s="1363" t="s">
        <v>10</v>
      </c>
      <c r="Y116" s="1504"/>
      <c r="Z116" s="1363" t="s">
        <v>38</v>
      </c>
      <c r="AA116" s="1504"/>
      <c r="AB116" s="1363" t="s">
        <v>10</v>
      </c>
      <c r="AC116" s="1504"/>
      <c r="AD116" s="1363" t="s">
        <v>2020</v>
      </c>
      <c r="AE116" s="1363" t="s">
        <v>20</v>
      </c>
      <c r="AF116" s="1363" t="str">
        <f>IF(W116&gt;=1,(AA116*12+AC116)-(W116*12+Y116)+1,"")</f>
        <v/>
      </c>
      <c r="AG116" s="1359" t="s">
        <v>33</v>
      </c>
      <c r="AH116" s="1365" t="str">
        <f t="shared" ref="AH116" si="170">IFERROR(ROUNDDOWN(ROUND(L114*U116,0),0)*AF116,"")</f>
        <v/>
      </c>
      <c r="AI116" s="1498" t="str">
        <f t="shared" ref="AI116" si="171">IFERROR(ROUNDDOWN(ROUND((L114*(U116-AW114)),0),0)*AF116,"")</f>
        <v/>
      </c>
      <c r="AJ116" s="1369" t="str">
        <f>IFERROR(ROUNDDOWN(ROUNDDOWN(ROUND(L114*VLOOKUP(K114,【参考】数式用!$A$5:$AB$27,MATCH("新加算Ⅳ",【参考】数式用!$B$4:$AB$4,0)+1,0),0),0)*AF116*0.5,0),"")</f>
        <v/>
      </c>
      <c r="AK116" s="1500"/>
      <c r="AL116" s="1502" t="str">
        <f>IFERROR(IF('別紙様式2-2（４・５月分）'!P116="ベア加算","", IF(OR(T116="新加算Ⅰ",T116="新加算Ⅱ",T116="新加算Ⅲ",T116="新加算Ⅳ"),ROUNDDOWN(ROUND(L114*VLOOKUP(K114,【参考】数式用!$A$5:$I$27,MATCH("ベア加算",【参考】数式用!$B$4:$I$4,0)+1,0),0),0)*AF116,"")),"")</f>
        <v/>
      </c>
      <c r="AM116" s="1494"/>
      <c r="AN116" s="1475"/>
      <c r="AO116" s="1496"/>
      <c r="AP116" s="1475"/>
      <c r="AQ116" s="1477"/>
      <c r="AR116" s="1479"/>
      <c r="AS116" s="1483"/>
      <c r="AT116" s="451"/>
      <c r="AU116" s="1303" t="str">
        <f>IF(AND(AA114&lt;&gt;7,AC114&lt;&gt;3),"V列に色付け","")</f>
        <v/>
      </c>
      <c r="AV116" s="1304"/>
      <c r="AW116" s="1305"/>
      <c r="AX116" s="574"/>
      <c r="AY116" s="1222" t="str">
        <f>IF(AL116&lt;&gt;"",IF(AM116="○","入力済","未入力"),"")</f>
        <v/>
      </c>
      <c r="AZ116" s="1222"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2" t="str">
        <f>IF(OR(T116="新加算Ⅴ（７）",T116="新加算Ⅴ（９）",T116="新加算Ⅴ（10）",T116="新加算Ⅴ（12）",T116="新加算Ⅴ（13）",T116="新加算Ⅴ（14）"),IF(OR(AO116="○",AO116="令和６年度中に満たす"),"入力済","未入力"),"")</f>
        <v/>
      </c>
      <c r="BB116" s="1222" t="str">
        <f>IF(OR(T116="新加算Ⅰ",T116="新加算Ⅱ",T116="新加算Ⅲ",T116="新加算Ⅴ（１）",T116="新加算Ⅴ（３）",T116="新加算Ⅴ（８）"),IF(OR(AP116="○",AP116="令和６年度中に満たす"),"入力済","未入力"),"")</f>
        <v/>
      </c>
      <c r="BC116" s="1472"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03" t="str">
        <f>IF(OR(T116="新加算Ⅰ",T116="新加算Ⅴ（１）",T116="新加算Ⅴ（２）",T116="新加算Ⅴ（５）",T116="新加算Ⅴ（７）",T116="新加算Ⅴ（10）"),IF(AR116="","未入力","入力済"),"")</f>
        <v/>
      </c>
      <c r="BE116" s="1303" t="str">
        <f>G114</f>
        <v/>
      </c>
      <c r="BF116" s="1303"/>
      <c r="BG116" s="1303"/>
    </row>
    <row r="117" spans="1:59" ht="30" customHeight="1" thickBot="1">
      <c r="A117" s="1268"/>
      <c r="B117" s="1411"/>
      <c r="C117" s="1412"/>
      <c r="D117" s="1412"/>
      <c r="E117" s="1412"/>
      <c r="F117" s="1413"/>
      <c r="G117" s="1253"/>
      <c r="H117" s="1253"/>
      <c r="I117" s="1253"/>
      <c r="J117" s="1416"/>
      <c r="K117" s="1253"/>
      <c r="L117" s="1422"/>
      <c r="M117" s="553" t="str">
        <f>IF('別紙様式2-2（４・５月分）'!P91="","",'別紙様式2-2（４・５月分）'!P91)</f>
        <v/>
      </c>
      <c r="N117" s="1394"/>
      <c r="O117" s="1374"/>
      <c r="P117" s="1426"/>
      <c r="Q117" s="1378"/>
      <c r="R117" s="1509"/>
      <c r="S117" s="1382"/>
      <c r="T117" s="1511"/>
      <c r="U117" s="1507"/>
      <c r="V117" s="1388"/>
      <c r="W117" s="1505"/>
      <c r="X117" s="1364"/>
      <c r="Y117" s="1505"/>
      <c r="Z117" s="1364"/>
      <c r="AA117" s="1505"/>
      <c r="AB117" s="1364"/>
      <c r="AC117" s="1505"/>
      <c r="AD117" s="1364"/>
      <c r="AE117" s="1364"/>
      <c r="AF117" s="1364"/>
      <c r="AG117" s="1360"/>
      <c r="AH117" s="1366"/>
      <c r="AI117" s="1499"/>
      <c r="AJ117" s="1370"/>
      <c r="AK117" s="1501"/>
      <c r="AL117" s="1503"/>
      <c r="AM117" s="1495"/>
      <c r="AN117" s="1476"/>
      <c r="AO117" s="1497"/>
      <c r="AP117" s="1476"/>
      <c r="AQ117" s="1478"/>
      <c r="AR117" s="1480"/>
      <c r="AS117" s="575"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1"/>
      <c r="AU117" s="1303"/>
      <c r="AV117" s="555" t="str">
        <f>IF('別紙様式2-2（４・５月分）'!N91="","",'別紙様式2-2（４・５月分）'!N91)</f>
        <v/>
      </c>
      <c r="AW117" s="1305"/>
      <c r="AX117" s="576"/>
      <c r="AY117" s="1222" t="str">
        <f>IF(OR(T117="新加算Ⅰ",T117="新加算Ⅱ",T117="新加算Ⅲ",T117="新加算Ⅳ",T117="新加算Ⅴ（１）",T117="新加算Ⅴ（２）",T117="新加算Ⅴ（３）",T117="新加算ⅠⅤ（４）",T117="新加算Ⅴ（５）",T117="新加算Ⅴ（６）",T117="新加算Ⅴ（８）",T117="新加算Ⅴ（11）"),IF(AI117="○","","未入力"),"")</f>
        <v/>
      </c>
      <c r="AZ117" s="1222" t="str">
        <f>IF(OR(U117="新加算Ⅰ",U117="新加算Ⅱ",U117="新加算Ⅲ",U117="新加算Ⅳ",U117="新加算Ⅴ（１）",U117="新加算Ⅴ（２）",U117="新加算Ⅴ（３）",U117="新加算ⅠⅤ（４）",U117="新加算Ⅴ（５）",U117="新加算Ⅴ（６）",U117="新加算Ⅴ（８）",U117="新加算Ⅴ（11）"),IF(AJ117="○","","未入力"),"")</f>
        <v/>
      </c>
      <c r="BA117" s="1222" t="str">
        <f>IF(OR(U117="新加算Ⅴ（７）",U117="新加算Ⅴ（９）",U117="新加算Ⅴ（10）",U117="新加算Ⅴ（12）",U117="新加算Ⅴ（13）",U117="新加算Ⅴ（14）"),IF(AK117="○","","未入力"),"")</f>
        <v/>
      </c>
      <c r="BB117" s="1222" t="str">
        <f>IF(OR(U117="新加算Ⅰ",U117="新加算Ⅱ",U117="新加算Ⅲ",U117="新加算Ⅴ（１）",U117="新加算Ⅴ（３）",U117="新加算Ⅴ（８）"),IF(AL117="○","","未入力"),"")</f>
        <v/>
      </c>
      <c r="BC117" s="1472"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03" t="str">
        <f>IF(AND(T117&lt;&gt;"（参考）令和７年度の移行予定",OR(U117="新加算Ⅰ",U117="新加算Ⅴ（１）",U117="新加算Ⅴ（２）",U117="新加算Ⅴ（５）",U117="新加算Ⅴ（７）",U117="新加算Ⅴ（10）")),IF(AN117="","未入力",IF(AN117="いずれも取得していない","要件を満たさない","")),"")</f>
        <v/>
      </c>
      <c r="BE117" s="1303" t="str">
        <f>G114</f>
        <v/>
      </c>
      <c r="BF117" s="1303"/>
      <c r="BG117" s="1303"/>
    </row>
    <row r="118" spans="1:59" ht="30" customHeight="1">
      <c r="A118" s="1266">
        <v>27</v>
      </c>
      <c r="B118" s="1235" t="str">
        <f>IF(基本情報入力シート!C80="","",基本情報入力シート!C80)</f>
        <v/>
      </c>
      <c r="C118" s="1236"/>
      <c r="D118" s="1236"/>
      <c r="E118" s="1236"/>
      <c r="F118" s="1237"/>
      <c r="G118" s="1252" t="str">
        <f>IF(基本情報入力シート!M80="","",基本情報入力シート!M80)</f>
        <v/>
      </c>
      <c r="H118" s="1252" t="str">
        <f>IF(基本情報入力シート!R80="","",基本情報入力シート!R80)</f>
        <v/>
      </c>
      <c r="I118" s="1252" t="str">
        <f>IF(基本情報入力シート!W80="","",基本情報入力シート!W80)</f>
        <v/>
      </c>
      <c r="J118" s="1415" t="str">
        <f>IF(基本情報入力シート!X80="","",基本情報入力シート!X80)</f>
        <v/>
      </c>
      <c r="K118" s="1252" t="str">
        <f>IF(基本情報入力シート!Y80="","",基本情報入力シート!Y80)</f>
        <v/>
      </c>
      <c r="L118" s="1421" t="str">
        <f>IF(基本情報入力シート!AB80="","",基本情報入力シート!AB80)</f>
        <v/>
      </c>
      <c r="M118" s="550" t="str">
        <f>IF('別紙様式2-2（４・５月分）'!P92="","",'別紙様式2-2（４・５月分）'!P92)</f>
        <v/>
      </c>
      <c r="N118" s="1391" t="str">
        <f>IF(SUM('別紙様式2-2（４・５月分）'!Q92:Q94)=0,"",SUM('別紙様式2-2（４・５月分）'!Q92:Q94))</f>
        <v/>
      </c>
      <c r="O118" s="1395" t="str">
        <f>IFERROR(VLOOKUP('別紙様式2-2（４・５月分）'!AQ92,【参考】数式用!$AR$5:$AS$22,2,FALSE),"")</f>
        <v/>
      </c>
      <c r="P118" s="1396"/>
      <c r="Q118" s="1397"/>
      <c r="R118" s="1531" t="str">
        <f>IFERROR(VLOOKUP(K118,【参考】数式用!$A$5:$AB$37,MATCH(O118,【参考】数式用!$B$4:$AB$4,0)+1,0),"")</f>
        <v/>
      </c>
      <c r="S118" s="1403" t="s">
        <v>2102</v>
      </c>
      <c r="T118" s="1527" t="str">
        <f>IF('別紙様式2-3（６月以降分）'!T118="","",'別紙様式2-3（６月以降分）'!T118)</f>
        <v/>
      </c>
      <c r="U118" s="1529" t="str">
        <f>IFERROR(VLOOKUP(K118,【参考】数式用!$A$5:$AB$37,MATCH(T118,【参考】数式用!$B$4:$AB$4,0)+1,0),"")</f>
        <v/>
      </c>
      <c r="V118" s="1409" t="s">
        <v>15</v>
      </c>
      <c r="W118" s="1525">
        <f>'別紙様式2-3（６月以降分）'!W118</f>
        <v>6</v>
      </c>
      <c r="X118" s="1349" t="s">
        <v>10</v>
      </c>
      <c r="Y118" s="1525">
        <f>'別紙様式2-3（６月以降分）'!Y118</f>
        <v>6</v>
      </c>
      <c r="Z118" s="1349" t="s">
        <v>38</v>
      </c>
      <c r="AA118" s="1525">
        <f>'別紙様式2-3（６月以降分）'!AA118</f>
        <v>7</v>
      </c>
      <c r="AB118" s="1349" t="s">
        <v>10</v>
      </c>
      <c r="AC118" s="1525">
        <f>'別紙様式2-3（６月以降分）'!AC118</f>
        <v>3</v>
      </c>
      <c r="AD118" s="1349" t="s">
        <v>2020</v>
      </c>
      <c r="AE118" s="1349" t="s">
        <v>20</v>
      </c>
      <c r="AF118" s="1349">
        <f>IF(W118&gt;=1,(AA118*12+AC118)-(W118*12+Y118)+1,"")</f>
        <v>10</v>
      </c>
      <c r="AG118" s="1351" t="s">
        <v>33</v>
      </c>
      <c r="AH118" s="1517" t="str">
        <f>'別紙様式2-3（６月以降分）'!AH118</f>
        <v/>
      </c>
      <c r="AI118" s="1519" t="str">
        <f>'別紙様式2-3（６月以降分）'!AI118</f>
        <v/>
      </c>
      <c r="AJ118" s="1521">
        <f>'別紙様式2-3（６月以降分）'!AJ118</f>
        <v>0</v>
      </c>
      <c r="AK118" s="1523" t="str">
        <f>IF('別紙様式2-3（６月以降分）'!AK118="","",'別紙様式2-3（６月以降分）'!AK118)</f>
        <v/>
      </c>
      <c r="AL118" s="1512">
        <f>'別紙様式2-3（６月以降分）'!AL118</f>
        <v>0</v>
      </c>
      <c r="AM118" s="1514" t="str">
        <f>IF('別紙様式2-3（６月以降分）'!AM118="","",'別紙様式2-3（６月以降分）'!AM118)</f>
        <v/>
      </c>
      <c r="AN118" s="1333" t="str">
        <f>IF('別紙様式2-3（６月以降分）'!AN118="","",'別紙様式2-3（６月以降分）'!AN118)</f>
        <v/>
      </c>
      <c r="AO118" s="1331" t="str">
        <f>IF('別紙様式2-3（６月以降分）'!AO118="","",'別紙様式2-3（６月以降分）'!AO118)</f>
        <v/>
      </c>
      <c r="AP118" s="1333" t="str">
        <f>IF('別紙様式2-3（６月以降分）'!AP118="","",'別紙様式2-3（６月以降分）'!AP118)</f>
        <v/>
      </c>
      <c r="AQ118" s="1481" t="str">
        <f>IF('別紙様式2-3（６月以降分）'!AQ118="","",'別紙様式2-3（６月以降分）'!AQ118)</f>
        <v/>
      </c>
      <c r="AR118" s="1484" t="str">
        <f>IF('別紙様式2-3（６月以降分）'!AR118="","",'別紙様式2-3（６月以降分）'!AR118)</f>
        <v/>
      </c>
      <c r="AS118" s="570" t="str">
        <f t="shared" ref="AS118" si="175">IF(AU120="","",IF(U120&lt;U118,"！加算の要件上は問題ありませんが、令和６年度当初の新加算の加算率と比較して、移行後の加算率が下がる計画になっています。",""))</f>
        <v/>
      </c>
      <c r="AT118" s="577"/>
      <c r="AU118" s="1301"/>
      <c r="AV118" s="555" t="str">
        <f>IF('別紙様式2-2（４・５月分）'!N92="","",'別紙様式2-2（４・５月分）'!N92)</f>
        <v/>
      </c>
      <c r="AW118" s="1305" t="str">
        <f>IF(SUM('別紙様式2-2（４・５月分）'!O92:O94)=0,"",SUM('別紙様式2-2（４・５月分）'!O92:O94))</f>
        <v/>
      </c>
      <c r="AX118" s="1473" t="str">
        <f>IFERROR(VLOOKUP(K118,【参考】数式用!$AH$2:$AI$34,2,FALSE),"")</f>
        <v/>
      </c>
      <c r="AY118" s="493"/>
      <c r="BD118" s="340"/>
      <c r="BE118" s="1303" t="str">
        <f>G118</f>
        <v/>
      </c>
      <c r="BF118" s="1303"/>
      <c r="BG118" s="1303"/>
    </row>
    <row r="119" spans="1:59" ht="15" customHeight="1">
      <c r="A119" s="1267"/>
      <c r="B119" s="1235"/>
      <c r="C119" s="1236"/>
      <c r="D119" s="1236"/>
      <c r="E119" s="1236"/>
      <c r="F119" s="1237"/>
      <c r="G119" s="1252"/>
      <c r="H119" s="1252"/>
      <c r="I119" s="1252"/>
      <c r="J119" s="1415"/>
      <c r="K119" s="1252"/>
      <c r="L119" s="1421"/>
      <c r="M119" s="1371" t="str">
        <f>IF('別紙様式2-2（４・５月分）'!P93="","",'別紙様式2-2（４・５月分）'!P93)</f>
        <v/>
      </c>
      <c r="N119" s="1392"/>
      <c r="O119" s="1398"/>
      <c r="P119" s="1399"/>
      <c r="Q119" s="1400"/>
      <c r="R119" s="1532"/>
      <c r="S119" s="1404"/>
      <c r="T119" s="1528"/>
      <c r="U119" s="1530"/>
      <c r="V119" s="1410"/>
      <c r="W119" s="1526"/>
      <c r="X119" s="1350"/>
      <c r="Y119" s="1526"/>
      <c r="Z119" s="1350"/>
      <c r="AA119" s="1526"/>
      <c r="AB119" s="1350"/>
      <c r="AC119" s="1526"/>
      <c r="AD119" s="1350"/>
      <c r="AE119" s="1350"/>
      <c r="AF119" s="1350"/>
      <c r="AG119" s="1352"/>
      <c r="AH119" s="1518"/>
      <c r="AI119" s="1520"/>
      <c r="AJ119" s="1522"/>
      <c r="AK119" s="1524"/>
      <c r="AL119" s="1513"/>
      <c r="AM119" s="1515"/>
      <c r="AN119" s="1334"/>
      <c r="AO119" s="1516"/>
      <c r="AP119" s="1334"/>
      <c r="AQ119" s="1482"/>
      <c r="AR119" s="1485"/>
      <c r="AS119" s="1483" t="str">
        <f t="shared" ref="AS119" si="176">IF(AU120="","",IF(OR(AA120="",AA120&lt;&gt;7,AC120="",AC120&lt;&gt;3),"！算定期間の終わりが令和７年３月になっていません。年度内の廃止予定等がなければ、算定対象月を令和７年３月にしてください。",""))</f>
        <v/>
      </c>
      <c r="AT119" s="577"/>
      <c r="AU119" s="1303"/>
      <c r="AV119" s="1304" t="str">
        <f>IF('別紙様式2-2（４・５月分）'!N93="","",'別紙様式2-2（４・５月分）'!N93)</f>
        <v/>
      </c>
      <c r="AW119" s="1305"/>
      <c r="AX119" s="1474"/>
      <c r="AY119" s="430"/>
      <c r="BD119" s="340"/>
      <c r="BE119" s="1303" t="str">
        <f>G118</f>
        <v/>
      </c>
      <c r="BF119" s="1303"/>
      <c r="BG119" s="1303"/>
    </row>
    <row r="120" spans="1:59" ht="15" customHeight="1">
      <c r="A120" s="1295"/>
      <c r="B120" s="1235"/>
      <c r="C120" s="1236"/>
      <c r="D120" s="1236"/>
      <c r="E120" s="1236"/>
      <c r="F120" s="1237"/>
      <c r="G120" s="1252"/>
      <c r="H120" s="1252"/>
      <c r="I120" s="1252"/>
      <c r="J120" s="1415"/>
      <c r="K120" s="1252"/>
      <c r="L120" s="1421"/>
      <c r="M120" s="1372"/>
      <c r="N120" s="1393"/>
      <c r="O120" s="1373" t="s">
        <v>2025</v>
      </c>
      <c r="P120" s="1425" t="str">
        <f>IFERROR(VLOOKUP('別紙様式2-2（４・５月分）'!AQ92,【参考】数式用!$AR$5:$AT$22,3,FALSE),"")</f>
        <v/>
      </c>
      <c r="Q120" s="1377" t="s">
        <v>2036</v>
      </c>
      <c r="R120" s="1508" t="str">
        <f>IFERROR(VLOOKUP(K118,【参考】数式用!$A$5:$AB$37,MATCH(P120,【参考】数式用!$B$4:$AB$4,0)+1,0),"")</f>
        <v/>
      </c>
      <c r="S120" s="1381" t="s">
        <v>2109</v>
      </c>
      <c r="T120" s="1510"/>
      <c r="U120" s="1506" t="str">
        <f>IFERROR(VLOOKUP(K118,【参考】数式用!$A$5:$AB$37,MATCH(T120,【参考】数式用!$B$4:$AB$4,0)+1,0),"")</f>
        <v/>
      </c>
      <c r="V120" s="1387" t="s">
        <v>15</v>
      </c>
      <c r="W120" s="1504"/>
      <c r="X120" s="1363" t="s">
        <v>10</v>
      </c>
      <c r="Y120" s="1504"/>
      <c r="Z120" s="1363" t="s">
        <v>38</v>
      </c>
      <c r="AA120" s="1504"/>
      <c r="AB120" s="1363" t="s">
        <v>10</v>
      </c>
      <c r="AC120" s="1504"/>
      <c r="AD120" s="1363" t="s">
        <v>2020</v>
      </c>
      <c r="AE120" s="1363" t="s">
        <v>20</v>
      </c>
      <c r="AF120" s="1363" t="str">
        <f>IF(W120&gt;=1,(AA120*12+AC120)-(W120*12+Y120)+1,"")</f>
        <v/>
      </c>
      <c r="AG120" s="1359" t="s">
        <v>33</v>
      </c>
      <c r="AH120" s="1365" t="str">
        <f t="shared" ref="AH120" si="177">IFERROR(ROUNDDOWN(ROUND(L118*U120,0),0)*AF120,"")</f>
        <v/>
      </c>
      <c r="AI120" s="1498" t="str">
        <f t="shared" ref="AI120" si="178">IFERROR(ROUNDDOWN(ROUND((L118*(U120-AW118)),0),0)*AF120,"")</f>
        <v/>
      </c>
      <c r="AJ120" s="1369" t="str">
        <f>IFERROR(ROUNDDOWN(ROUNDDOWN(ROUND(L118*VLOOKUP(K118,【参考】数式用!$A$5:$AB$27,MATCH("新加算Ⅳ",【参考】数式用!$B$4:$AB$4,0)+1,0),0),0)*AF120*0.5,0),"")</f>
        <v/>
      </c>
      <c r="AK120" s="1500"/>
      <c r="AL120" s="1502" t="str">
        <f>IFERROR(IF('別紙様式2-2（４・５月分）'!P120="ベア加算","", IF(OR(T120="新加算Ⅰ",T120="新加算Ⅱ",T120="新加算Ⅲ",T120="新加算Ⅳ"),ROUNDDOWN(ROUND(L118*VLOOKUP(K118,【参考】数式用!$A$5:$I$27,MATCH("ベア加算",【参考】数式用!$B$4:$I$4,0)+1,0),0),0)*AF120,"")),"")</f>
        <v/>
      </c>
      <c r="AM120" s="1494"/>
      <c r="AN120" s="1475"/>
      <c r="AO120" s="1496"/>
      <c r="AP120" s="1475"/>
      <c r="AQ120" s="1477"/>
      <c r="AR120" s="1479"/>
      <c r="AS120" s="1483"/>
      <c r="AT120" s="451"/>
      <c r="AU120" s="1303" t="str">
        <f>IF(AND(AA118&lt;&gt;7,AC118&lt;&gt;3),"V列に色付け","")</f>
        <v/>
      </c>
      <c r="AV120" s="1304"/>
      <c r="AW120" s="1305"/>
      <c r="AX120" s="574"/>
      <c r="AY120" s="1222" t="str">
        <f>IF(AL120&lt;&gt;"",IF(AM120="○","入力済","未入力"),"")</f>
        <v/>
      </c>
      <c r="AZ120" s="1222"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2" t="str">
        <f>IF(OR(T120="新加算Ⅴ（７）",T120="新加算Ⅴ（９）",T120="新加算Ⅴ（10）",T120="新加算Ⅴ（12）",T120="新加算Ⅴ（13）",T120="新加算Ⅴ（14）"),IF(OR(AO120="○",AO120="令和６年度中に満たす"),"入力済","未入力"),"")</f>
        <v/>
      </c>
      <c r="BB120" s="1222" t="str">
        <f>IF(OR(T120="新加算Ⅰ",T120="新加算Ⅱ",T120="新加算Ⅲ",T120="新加算Ⅴ（１）",T120="新加算Ⅴ（３）",T120="新加算Ⅴ（８）"),IF(OR(AP120="○",AP120="令和６年度中に満たす"),"入力済","未入力"),"")</f>
        <v/>
      </c>
      <c r="BC120" s="1472"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03" t="str">
        <f>IF(OR(T120="新加算Ⅰ",T120="新加算Ⅴ（１）",T120="新加算Ⅴ（２）",T120="新加算Ⅴ（５）",T120="新加算Ⅴ（７）",T120="新加算Ⅴ（10）"),IF(AR120="","未入力","入力済"),"")</f>
        <v/>
      </c>
      <c r="BE120" s="1303" t="str">
        <f>G118</f>
        <v/>
      </c>
      <c r="BF120" s="1303"/>
      <c r="BG120" s="1303"/>
    </row>
    <row r="121" spans="1:59" ht="30" customHeight="1" thickBot="1">
      <c r="A121" s="1268"/>
      <c r="B121" s="1411"/>
      <c r="C121" s="1412"/>
      <c r="D121" s="1412"/>
      <c r="E121" s="1412"/>
      <c r="F121" s="1413"/>
      <c r="G121" s="1253"/>
      <c r="H121" s="1253"/>
      <c r="I121" s="1253"/>
      <c r="J121" s="1416"/>
      <c r="K121" s="1253"/>
      <c r="L121" s="1422"/>
      <c r="M121" s="553" t="str">
        <f>IF('別紙様式2-2（４・５月分）'!P94="","",'別紙様式2-2（４・５月分）'!P94)</f>
        <v/>
      </c>
      <c r="N121" s="1394"/>
      <c r="O121" s="1374"/>
      <c r="P121" s="1426"/>
      <c r="Q121" s="1378"/>
      <c r="R121" s="1509"/>
      <c r="S121" s="1382"/>
      <c r="T121" s="1511"/>
      <c r="U121" s="1507"/>
      <c r="V121" s="1388"/>
      <c r="W121" s="1505"/>
      <c r="X121" s="1364"/>
      <c r="Y121" s="1505"/>
      <c r="Z121" s="1364"/>
      <c r="AA121" s="1505"/>
      <c r="AB121" s="1364"/>
      <c r="AC121" s="1505"/>
      <c r="AD121" s="1364"/>
      <c r="AE121" s="1364"/>
      <c r="AF121" s="1364"/>
      <c r="AG121" s="1360"/>
      <c r="AH121" s="1366"/>
      <c r="AI121" s="1499"/>
      <c r="AJ121" s="1370"/>
      <c r="AK121" s="1501"/>
      <c r="AL121" s="1503"/>
      <c r="AM121" s="1495"/>
      <c r="AN121" s="1476"/>
      <c r="AO121" s="1497"/>
      <c r="AP121" s="1476"/>
      <c r="AQ121" s="1478"/>
      <c r="AR121" s="1480"/>
      <c r="AS121" s="575"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1"/>
      <c r="AU121" s="1303"/>
      <c r="AV121" s="555" t="str">
        <f>IF('別紙様式2-2（４・５月分）'!N94="","",'別紙様式2-2（４・５月分）'!N94)</f>
        <v/>
      </c>
      <c r="AW121" s="1305"/>
      <c r="AX121" s="576"/>
      <c r="AY121" s="1222" t="str">
        <f>IF(OR(T121="新加算Ⅰ",T121="新加算Ⅱ",T121="新加算Ⅲ",T121="新加算Ⅳ",T121="新加算Ⅴ（１）",T121="新加算Ⅴ（２）",T121="新加算Ⅴ（３）",T121="新加算ⅠⅤ（４）",T121="新加算Ⅴ（５）",T121="新加算Ⅴ（６）",T121="新加算Ⅴ（８）",T121="新加算Ⅴ（11）"),IF(AI121="○","","未入力"),"")</f>
        <v/>
      </c>
      <c r="AZ121" s="1222" t="str">
        <f>IF(OR(U121="新加算Ⅰ",U121="新加算Ⅱ",U121="新加算Ⅲ",U121="新加算Ⅳ",U121="新加算Ⅴ（１）",U121="新加算Ⅴ（２）",U121="新加算Ⅴ（３）",U121="新加算ⅠⅤ（４）",U121="新加算Ⅴ（５）",U121="新加算Ⅴ（６）",U121="新加算Ⅴ（８）",U121="新加算Ⅴ（11）"),IF(AJ121="○","","未入力"),"")</f>
        <v/>
      </c>
      <c r="BA121" s="1222" t="str">
        <f>IF(OR(U121="新加算Ⅴ（７）",U121="新加算Ⅴ（９）",U121="新加算Ⅴ（10）",U121="新加算Ⅴ（12）",U121="新加算Ⅴ（13）",U121="新加算Ⅴ（14）"),IF(AK121="○","","未入力"),"")</f>
        <v/>
      </c>
      <c r="BB121" s="1222" t="str">
        <f>IF(OR(U121="新加算Ⅰ",U121="新加算Ⅱ",U121="新加算Ⅲ",U121="新加算Ⅴ（１）",U121="新加算Ⅴ（３）",U121="新加算Ⅴ（８）"),IF(AL121="○","","未入力"),"")</f>
        <v/>
      </c>
      <c r="BC121" s="1472"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03" t="str">
        <f>IF(AND(T121&lt;&gt;"（参考）令和７年度の移行予定",OR(U121="新加算Ⅰ",U121="新加算Ⅴ（１）",U121="新加算Ⅴ（２）",U121="新加算Ⅴ（５）",U121="新加算Ⅴ（７）",U121="新加算Ⅴ（10）")),IF(AN121="","未入力",IF(AN121="いずれも取得していない","要件を満たさない","")),"")</f>
        <v/>
      </c>
      <c r="BE121" s="1303" t="str">
        <f>G118</f>
        <v/>
      </c>
      <c r="BF121" s="1303"/>
      <c r="BG121" s="1303"/>
    </row>
    <row r="122" spans="1:59" ht="30" customHeight="1">
      <c r="A122" s="1293">
        <v>28</v>
      </c>
      <c r="B122" s="1232" t="str">
        <f>IF(基本情報入力シート!C81="","",基本情報入力シート!C81)</f>
        <v/>
      </c>
      <c r="C122" s="1233"/>
      <c r="D122" s="1233"/>
      <c r="E122" s="1233"/>
      <c r="F122" s="1234"/>
      <c r="G122" s="1251" t="str">
        <f>IF(基本情報入力シート!M81="","",基本情報入力シート!M81)</f>
        <v/>
      </c>
      <c r="H122" s="1251" t="str">
        <f>IF(基本情報入力シート!R81="","",基本情報入力シート!R81)</f>
        <v/>
      </c>
      <c r="I122" s="1251" t="str">
        <f>IF(基本情報入力シート!W81="","",基本情報入力シート!W81)</f>
        <v/>
      </c>
      <c r="J122" s="1414" t="str">
        <f>IF(基本情報入力シート!X81="","",基本情報入力シート!X81)</f>
        <v/>
      </c>
      <c r="K122" s="1251" t="str">
        <f>IF(基本情報入力シート!Y81="","",基本情報入力シート!Y81)</f>
        <v/>
      </c>
      <c r="L122" s="1427" t="str">
        <f>IF(基本情報入力シート!AB81="","",基本情報入力シート!AB81)</f>
        <v/>
      </c>
      <c r="M122" s="550" t="str">
        <f>IF('別紙様式2-2（４・５月分）'!P95="","",'別紙様式2-2（４・５月分）'!P95)</f>
        <v/>
      </c>
      <c r="N122" s="1391" t="str">
        <f>IF(SUM('別紙様式2-2（４・５月分）'!Q95:Q97)=0,"",SUM('別紙様式2-2（４・５月分）'!Q95:Q97))</f>
        <v/>
      </c>
      <c r="O122" s="1395" t="str">
        <f>IFERROR(VLOOKUP('別紙様式2-2（４・５月分）'!AQ95,【参考】数式用!$AR$5:$AS$22,2,FALSE),"")</f>
        <v/>
      </c>
      <c r="P122" s="1396"/>
      <c r="Q122" s="1397"/>
      <c r="R122" s="1531" t="str">
        <f>IFERROR(VLOOKUP(K122,【参考】数式用!$A$5:$AB$37,MATCH(O122,【参考】数式用!$B$4:$AB$4,0)+1,0),"")</f>
        <v/>
      </c>
      <c r="S122" s="1403" t="s">
        <v>2102</v>
      </c>
      <c r="T122" s="1527" t="str">
        <f>IF('別紙様式2-3（６月以降分）'!T122="","",'別紙様式2-3（６月以降分）'!T122)</f>
        <v/>
      </c>
      <c r="U122" s="1529" t="str">
        <f>IFERROR(VLOOKUP(K122,【参考】数式用!$A$5:$AB$37,MATCH(T122,【参考】数式用!$B$4:$AB$4,0)+1,0),"")</f>
        <v/>
      </c>
      <c r="V122" s="1409" t="s">
        <v>15</v>
      </c>
      <c r="W122" s="1525">
        <f>'別紙様式2-3（６月以降分）'!W122</f>
        <v>6</v>
      </c>
      <c r="X122" s="1349" t="s">
        <v>10</v>
      </c>
      <c r="Y122" s="1525">
        <f>'別紙様式2-3（６月以降分）'!Y122</f>
        <v>6</v>
      </c>
      <c r="Z122" s="1349" t="s">
        <v>38</v>
      </c>
      <c r="AA122" s="1525">
        <f>'別紙様式2-3（６月以降分）'!AA122</f>
        <v>7</v>
      </c>
      <c r="AB122" s="1349" t="s">
        <v>10</v>
      </c>
      <c r="AC122" s="1525">
        <f>'別紙様式2-3（６月以降分）'!AC122</f>
        <v>3</v>
      </c>
      <c r="AD122" s="1349" t="s">
        <v>2020</v>
      </c>
      <c r="AE122" s="1349" t="s">
        <v>20</v>
      </c>
      <c r="AF122" s="1349">
        <f>IF(W122&gt;=1,(AA122*12+AC122)-(W122*12+Y122)+1,"")</f>
        <v>10</v>
      </c>
      <c r="AG122" s="1351" t="s">
        <v>33</v>
      </c>
      <c r="AH122" s="1517" t="str">
        <f>'別紙様式2-3（６月以降分）'!AH122</f>
        <v/>
      </c>
      <c r="AI122" s="1519" t="str">
        <f>'別紙様式2-3（６月以降分）'!AI122</f>
        <v/>
      </c>
      <c r="AJ122" s="1521">
        <f>'別紙様式2-3（６月以降分）'!AJ122</f>
        <v>0</v>
      </c>
      <c r="AK122" s="1523" t="str">
        <f>IF('別紙様式2-3（６月以降分）'!AK122="","",'別紙様式2-3（６月以降分）'!AK122)</f>
        <v/>
      </c>
      <c r="AL122" s="1512">
        <f>'別紙様式2-3（６月以降分）'!AL122</f>
        <v>0</v>
      </c>
      <c r="AM122" s="1514" t="str">
        <f>IF('別紙様式2-3（６月以降分）'!AM122="","",'別紙様式2-3（６月以降分）'!AM122)</f>
        <v/>
      </c>
      <c r="AN122" s="1333" t="str">
        <f>IF('別紙様式2-3（６月以降分）'!AN122="","",'別紙様式2-3（６月以降分）'!AN122)</f>
        <v/>
      </c>
      <c r="AO122" s="1331" t="str">
        <f>IF('別紙様式2-3（６月以降分）'!AO122="","",'別紙様式2-3（６月以降分）'!AO122)</f>
        <v/>
      </c>
      <c r="AP122" s="1333" t="str">
        <f>IF('別紙様式2-3（６月以降分）'!AP122="","",'別紙様式2-3（６月以降分）'!AP122)</f>
        <v/>
      </c>
      <c r="AQ122" s="1481" t="str">
        <f>IF('別紙様式2-3（６月以降分）'!AQ122="","",'別紙様式2-3（６月以降分）'!AQ122)</f>
        <v/>
      </c>
      <c r="AR122" s="1484" t="str">
        <f>IF('別紙様式2-3（６月以降分）'!AR122="","",'別紙様式2-3（６月以降分）'!AR122)</f>
        <v/>
      </c>
      <c r="AS122" s="570" t="str">
        <f t="shared" ref="AS122" si="182">IF(AU124="","",IF(U124&lt;U122,"！加算の要件上は問題ありませんが、令和６年度当初の新加算の加算率と比較して、移行後の加算率が下がる計画になっています。",""))</f>
        <v/>
      </c>
      <c r="AT122" s="577"/>
      <c r="AU122" s="1301"/>
      <c r="AV122" s="555" t="str">
        <f>IF('別紙様式2-2（４・５月分）'!N95="","",'別紙様式2-2（４・５月分）'!N95)</f>
        <v/>
      </c>
      <c r="AW122" s="1305" t="str">
        <f>IF(SUM('別紙様式2-2（４・５月分）'!O95:O97)=0,"",SUM('別紙様式2-2（４・５月分）'!O95:O97))</f>
        <v/>
      </c>
      <c r="AX122" s="1473" t="str">
        <f>IFERROR(VLOOKUP(K122,【参考】数式用!$AH$2:$AI$34,2,FALSE),"")</f>
        <v/>
      </c>
      <c r="AY122" s="493"/>
      <c r="BD122" s="340"/>
      <c r="BE122" s="1303" t="str">
        <f>G122</f>
        <v/>
      </c>
      <c r="BF122" s="1303"/>
      <c r="BG122" s="1303"/>
    </row>
    <row r="123" spans="1:59" ht="15" customHeight="1">
      <c r="A123" s="1267"/>
      <c r="B123" s="1235"/>
      <c r="C123" s="1236"/>
      <c r="D123" s="1236"/>
      <c r="E123" s="1236"/>
      <c r="F123" s="1237"/>
      <c r="G123" s="1252"/>
      <c r="H123" s="1252"/>
      <c r="I123" s="1252"/>
      <c r="J123" s="1415"/>
      <c r="K123" s="1252"/>
      <c r="L123" s="1421"/>
      <c r="M123" s="1371" t="str">
        <f>IF('別紙様式2-2（４・５月分）'!P96="","",'別紙様式2-2（４・５月分）'!P96)</f>
        <v/>
      </c>
      <c r="N123" s="1392"/>
      <c r="O123" s="1398"/>
      <c r="P123" s="1399"/>
      <c r="Q123" s="1400"/>
      <c r="R123" s="1532"/>
      <c r="S123" s="1404"/>
      <c r="T123" s="1528"/>
      <c r="U123" s="1530"/>
      <c r="V123" s="1410"/>
      <c r="W123" s="1526"/>
      <c r="X123" s="1350"/>
      <c r="Y123" s="1526"/>
      <c r="Z123" s="1350"/>
      <c r="AA123" s="1526"/>
      <c r="AB123" s="1350"/>
      <c r="AC123" s="1526"/>
      <c r="AD123" s="1350"/>
      <c r="AE123" s="1350"/>
      <c r="AF123" s="1350"/>
      <c r="AG123" s="1352"/>
      <c r="AH123" s="1518"/>
      <c r="AI123" s="1520"/>
      <c r="AJ123" s="1522"/>
      <c r="AK123" s="1524"/>
      <c r="AL123" s="1513"/>
      <c r="AM123" s="1515"/>
      <c r="AN123" s="1334"/>
      <c r="AO123" s="1516"/>
      <c r="AP123" s="1334"/>
      <c r="AQ123" s="1482"/>
      <c r="AR123" s="1485"/>
      <c r="AS123" s="1483" t="str">
        <f t="shared" ref="AS123" si="183">IF(AU124="","",IF(OR(AA124="",AA124&lt;&gt;7,AC124="",AC124&lt;&gt;3),"！算定期間の終わりが令和７年３月になっていません。年度内の廃止予定等がなければ、算定対象月を令和７年３月にしてください。",""))</f>
        <v/>
      </c>
      <c r="AT123" s="577"/>
      <c r="AU123" s="1303"/>
      <c r="AV123" s="1304" t="str">
        <f>IF('別紙様式2-2（４・５月分）'!N96="","",'別紙様式2-2（４・５月分）'!N96)</f>
        <v/>
      </c>
      <c r="AW123" s="1305"/>
      <c r="AX123" s="1474"/>
      <c r="AY123" s="430"/>
      <c r="BD123" s="340"/>
      <c r="BE123" s="1303" t="str">
        <f>G122</f>
        <v/>
      </c>
      <c r="BF123" s="1303"/>
      <c r="BG123" s="1303"/>
    </row>
    <row r="124" spans="1:59" ht="15" customHeight="1">
      <c r="A124" s="1295"/>
      <c r="B124" s="1235"/>
      <c r="C124" s="1236"/>
      <c r="D124" s="1236"/>
      <c r="E124" s="1236"/>
      <c r="F124" s="1237"/>
      <c r="G124" s="1252"/>
      <c r="H124" s="1252"/>
      <c r="I124" s="1252"/>
      <c r="J124" s="1415"/>
      <c r="K124" s="1252"/>
      <c r="L124" s="1421"/>
      <c r="M124" s="1372"/>
      <c r="N124" s="1393"/>
      <c r="O124" s="1373" t="s">
        <v>2025</v>
      </c>
      <c r="P124" s="1425" t="str">
        <f>IFERROR(VLOOKUP('別紙様式2-2（４・５月分）'!AQ95,【参考】数式用!$AR$5:$AT$22,3,FALSE),"")</f>
        <v/>
      </c>
      <c r="Q124" s="1377" t="s">
        <v>2036</v>
      </c>
      <c r="R124" s="1508" t="str">
        <f>IFERROR(VLOOKUP(K122,【参考】数式用!$A$5:$AB$37,MATCH(P124,【参考】数式用!$B$4:$AB$4,0)+1,0),"")</f>
        <v/>
      </c>
      <c r="S124" s="1381" t="s">
        <v>2109</v>
      </c>
      <c r="T124" s="1510"/>
      <c r="U124" s="1506" t="str">
        <f>IFERROR(VLOOKUP(K122,【参考】数式用!$A$5:$AB$37,MATCH(T124,【参考】数式用!$B$4:$AB$4,0)+1,0),"")</f>
        <v/>
      </c>
      <c r="V124" s="1387" t="s">
        <v>15</v>
      </c>
      <c r="W124" s="1504"/>
      <c r="X124" s="1363" t="s">
        <v>10</v>
      </c>
      <c r="Y124" s="1504"/>
      <c r="Z124" s="1363" t="s">
        <v>38</v>
      </c>
      <c r="AA124" s="1504"/>
      <c r="AB124" s="1363" t="s">
        <v>10</v>
      </c>
      <c r="AC124" s="1504"/>
      <c r="AD124" s="1363" t="s">
        <v>2020</v>
      </c>
      <c r="AE124" s="1363" t="s">
        <v>20</v>
      </c>
      <c r="AF124" s="1363" t="str">
        <f>IF(W124&gt;=1,(AA124*12+AC124)-(W124*12+Y124)+1,"")</f>
        <v/>
      </c>
      <c r="AG124" s="1359" t="s">
        <v>33</v>
      </c>
      <c r="AH124" s="1365" t="str">
        <f t="shared" ref="AH124" si="184">IFERROR(ROUNDDOWN(ROUND(L122*U124,0),0)*AF124,"")</f>
        <v/>
      </c>
      <c r="AI124" s="1498" t="str">
        <f t="shared" ref="AI124" si="185">IFERROR(ROUNDDOWN(ROUND((L122*(U124-AW122)),0),0)*AF124,"")</f>
        <v/>
      </c>
      <c r="AJ124" s="1369" t="str">
        <f>IFERROR(ROUNDDOWN(ROUNDDOWN(ROUND(L122*VLOOKUP(K122,【参考】数式用!$A$5:$AB$27,MATCH("新加算Ⅳ",【参考】数式用!$B$4:$AB$4,0)+1,0),0),0)*AF124*0.5,0),"")</f>
        <v/>
      </c>
      <c r="AK124" s="1500"/>
      <c r="AL124" s="1502" t="str">
        <f>IFERROR(IF('別紙様式2-2（４・５月分）'!P124="ベア加算","", IF(OR(T124="新加算Ⅰ",T124="新加算Ⅱ",T124="新加算Ⅲ",T124="新加算Ⅳ"),ROUNDDOWN(ROUND(L122*VLOOKUP(K122,【参考】数式用!$A$5:$I$27,MATCH("ベア加算",【参考】数式用!$B$4:$I$4,0)+1,0),0),0)*AF124,"")),"")</f>
        <v/>
      </c>
      <c r="AM124" s="1494"/>
      <c r="AN124" s="1475"/>
      <c r="AO124" s="1496"/>
      <c r="AP124" s="1475"/>
      <c r="AQ124" s="1477"/>
      <c r="AR124" s="1479"/>
      <c r="AS124" s="1483"/>
      <c r="AT124" s="451"/>
      <c r="AU124" s="1303" t="str">
        <f>IF(AND(AA122&lt;&gt;7,AC122&lt;&gt;3),"V列に色付け","")</f>
        <v/>
      </c>
      <c r="AV124" s="1304"/>
      <c r="AW124" s="1305"/>
      <c r="AX124" s="574"/>
      <c r="AY124" s="1222" t="str">
        <f>IF(AL124&lt;&gt;"",IF(AM124="○","入力済","未入力"),"")</f>
        <v/>
      </c>
      <c r="AZ124" s="1222"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2" t="str">
        <f>IF(OR(T124="新加算Ⅴ（７）",T124="新加算Ⅴ（９）",T124="新加算Ⅴ（10）",T124="新加算Ⅴ（12）",T124="新加算Ⅴ（13）",T124="新加算Ⅴ（14）"),IF(OR(AO124="○",AO124="令和６年度中に満たす"),"入力済","未入力"),"")</f>
        <v/>
      </c>
      <c r="BB124" s="1222" t="str">
        <f>IF(OR(T124="新加算Ⅰ",T124="新加算Ⅱ",T124="新加算Ⅲ",T124="新加算Ⅴ（１）",T124="新加算Ⅴ（３）",T124="新加算Ⅴ（８）"),IF(OR(AP124="○",AP124="令和６年度中に満たす"),"入力済","未入力"),"")</f>
        <v/>
      </c>
      <c r="BC124" s="1472"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03" t="str">
        <f>IF(OR(T124="新加算Ⅰ",T124="新加算Ⅴ（１）",T124="新加算Ⅴ（２）",T124="新加算Ⅴ（５）",T124="新加算Ⅴ（７）",T124="新加算Ⅴ（10）"),IF(AR124="","未入力","入力済"),"")</f>
        <v/>
      </c>
      <c r="BE124" s="1303" t="str">
        <f>G122</f>
        <v/>
      </c>
      <c r="BF124" s="1303"/>
      <c r="BG124" s="1303"/>
    </row>
    <row r="125" spans="1:59" ht="30" customHeight="1" thickBot="1">
      <c r="A125" s="1268"/>
      <c r="B125" s="1411"/>
      <c r="C125" s="1412"/>
      <c r="D125" s="1412"/>
      <c r="E125" s="1412"/>
      <c r="F125" s="1413"/>
      <c r="G125" s="1253"/>
      <c r="H125" s="1253"/>
      <c r="I125" s="1253"/>
      <c r="J125" s="1416"/>
      <c r="K125" s="1253"/>
      <c r="L125" s="1422"/>
      <c r="M125" s="553" t="str">
        <f>IF('別紙様式2-2（４・５月分）'!P97="","",'別紙様式2-2（４・５月分）'!P97)</f>
        <v/>
      </c>
      <c r="N125" s="1394"/>
      <c r="O125" s="1374"/>
      <c r="P125" s="1426"/>
      <c r="Q125" s="1378"/>
      <c r="R125" s="1509"/>
      <c r="S125" s="1382"/>
      <c r="T125" s="1511"/>
      <c r="U125" s="1507"/>
      <c r="V125" s="1388"/>
      <c r="W125" s="1505"/>
      <c r="X125" s="1364"/>
      <c r="Y125" s="1505"/>
      <c r="Z125" s="1364"/>
      <c r="AA125" s="1505"/>
      <c r="AB125" s="1364"/>
      <c r="AC125" s="1505"/>
      <c r="AD125" s="1364"/>
      <c r="AE125" s="1364"/>
      <c r="AF125" s="1364"/>
      <c r="AG125" s="1360"/>
      <c r="AH125" s="1366"/>
      <c r="AI125" s="1499"/>
      <c r="AJ125" s="1370"/>
      <c r="AK125" s="1501"/>
      <c r="AL125" s="1503"/>
      <c r="AM125" s="1495"/>
      <c r="AN125" s="1476"/>
      <c r="AO125" s="1497"/>
      <c r="AP125" s="1476"/>
      <c r="AQ125" s="1478"/>
      <c r="AR125" s="1480"/>
      <c r="AS125" s="575"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1"/>
      <c r="AU125" s="1303"/>
      <c r="AV125" s="555" t="str">
        <f>IF('別紙様式2-2（４・５月分）'!N97="","",'別紙様式2-2（４・５月分）'!N97)</f>
        <v/>
      </c>
      <c r="AW125" s="1305"/>
      <c r="AX125" s="576"/>
      <c r="AY125" s="1222" t="str">
        <f>IF(OR(T125="新加算Ⅰ",T125="新加算Ⅱ",T125="新加算Ⅲ",T125="新加算Ⅳ",T125="新加算Ⅴ（１）",T125="新加算Ⅴ（２）",T125="新加算Ⅴ（３）",T125="新加算ⅠⅤ（４）",T125="新加算Ⅴ（５）",T125="新加算Ⅴ（６）",T125="新加算Ⅴ（８）",T125="新加算Ⅴ（11）"),IF(AI125="○","","未入力"),"")</f>
        <v/>
      </c>
      <c r="AZ125" s="1222" t="str">
        <f>IF(OR(U125="新加算Ⅰ",U125="新加算Ⅱ",U125="新加算Ⅲ",U125="新加算Ⅳ",U125="新加算Ⅴ（１）",U125="新加算Ⅴ（２）",U125="新加算Ⅴ（３）",U125="新加算ⅠⅤ（４）",U125="新加算Ⅴ（５）",U125="新加算Ⅴ（６）",U125="新加算Ⅴ（８）",U125="新加算Ⅴ（11）"),IF(AJ125="○","","未入力"),"")</f>
        <v/>
      </c>
      <c r="BA125" s="1222" t="str">
        <f>IF(OR(U125="新加算Ⅴ（７）",U125="新加算Ⅴ（９）",U125="新加算Ⅴ（10）",U125="新加算Ⅴ（12）",U125="新加算Ⅴ（13）",U125="新加算Ⅴ（14）"),IF(AK125="○","","未入力"),"")</f>
        <v/>
      </c>
      <c r="BB125" s="1222" t="str">
        <f>IF(OR(U125="新加算Ⅰ",U125="新加算Ⅱ",U125="新加算Ⅲ",U125="新加算Ⅴ（１）",U125="新加算Ⅴ（３）",U125="新加算Ⅴ（８）"),IF(AL125="○","","未入力"),"")</f>
        <v/>
      </c>
      <c r="BC125" s="1472"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03" t="str">
        <f>IF(AND(T125&lt;&gt;"（参考）令和７年度の移行予定",OR(U125="新加算Ⅰ",U125="新加算Ⅴ（１）",U125="新加算Ⅴ（２）",U125="新加算Ⅴ（５）",U125="新加算Ⅴ（７）",U125="新加算Ⅴ（10）")),IF(AN125="","未入力",IF(AN125="いずれも取得していない","要件を満たさない","")),"")</f>
        <v/>
      </c>
      <c r="BE125" s="1303" t="str">
        <f>G122</f>
        <v/>
      </c>
      <c r="BF125" s="1303"/>
      <c r="BG125" s="1303"/>
    </row>
    <row r="126" spans="1:59" ht="30" customHeight="1">
      <c r="A126" s="1266">
        <v>29</v>
      </c>
      <c r="B126" s="1235" t="str">
        <f>IF(基本情報入力シート!C82="","",基本情報入力シート!C82)</f>
        <v/>
      </c>
      <c r="C126" s="1236"/>
      <c r="D126" s="1236"/>
      <c r="E126" s="1236"/>
      <c r="F126" s="1237"/>
      <c r="G126" s="1252" t="str">
        <f>IF(基本情報入力シート!M82="","",基本情報入力シート!M82)</f>
        <v/>
      </c>
      <c r="H126" s="1252" t="str">
        <f>IF(基本情報入力シート!R82="","",基本情報入力シート!R82)</f>
        <v/>
      </c>
      <c r="I126" s="1252" t="str">
        <f>IF(基本情報入力シート!W82="","",基本情報入力シート!W82)</f>
        <v/>
      </c>
      <c r="J126" s="1415" t="str">
        <f>IF(基本情報入力シート!X82="","",基本情報入力シート!X82)</f>
        <v/>
      </c>
      <c r="K126" s="1252" t="str">
        <f>IF(基本情報入力シート!Y82="","",基本情報入力シート!Y82)</f>
        <v/>
      </c>
      <c r="L126" s="1421" t="str">
        <f>IF(基本情報入力シート!AB82="","",基本情報入力シート!AB82)</f>
        <v/>
      </c>
      <c r="M126" s="550" t="str">
        <f>IF('別紙様式2-2（４・５月分）'!P98="","",'別紙様式2-2（４・５月分）'!P98)</f>
        <v/>
      </c>
      <c r="N126" s="1391" t="str">
        <f>IF(SUM('別紙様式2-2（４・５月分）'!Q98:Q100)=0,"",SUM('別紙様式2-2（４・５月分）'!Q98:Q100))</f>
        <v/>
      </c>
      <c r="O126" s="1395" t="str">
        <f>IFERROR(VLOOKUP('別紙様式2-2（４・５月分）'!AQ98,【参考】数式用!$AR$5:$AS$22,2,FALSE),"")</f>
        <v/>
      </c>
      <c r="P126" s="1396"/>
      <c r="Q126" s="1397"/>
      <c r="R126" s="1531" t="str">
        <f>IFERROR(VLOOKUP(K126,【参考】数式用!$A$5:$AB$37,MATCH(O126,【参考】数式用!$B$4:$AB$4,0)+1,0),"")</f>
        <v/>
      </c>
      <c r="S126" s="1403" t="s">
        <v>2102</v>
      </c>
      <c r="T126" s="1527" t="str">
        <f>IF('別紙様式2-3（６月以降分）'!T126="","",'別紙様式2-3（６月以降分）'!T126)</f>
        <v/>
      </c>
      <c r="U126" s="1529" t="str">
        <f>IFERROR(VLOOKUP(K126,【参考】数式用!$A$5:$AB$37,MATCH(T126,【参考】数式用!$B$4:$AB$4,0)+1,0),"")</f>
        <v/>
      </c>
      <c r="V126" s="1409" t="s">
        <v>15</v>
      </c>
      <c r="W126" s="1525">
        <f>'別紙様式2-3（６月以降分）'!W126</f>
        <v>6</v>
      </c>
      <c r="X126" s="1349" t="s">
        <v>10</v>
      </c>
      <c r="Y126" s="1525">
        <f>'別紙様式2-3（６月以降分）'!Y126</f>
        <v>6</v>
      </c>
      <c r="Z126" s="1349" t="s">
        <v>38</v>
      </c>
      <c r="AA126" s="1525">
        <f>'別紙様式2-3（６月以降分）'!AA126</f>
        <v>7</v>
      </c>
      <c r="AB126" s="1349" t="s">
        <v>10</v>
      </c>
      <c r="AC126" s="1525">
        <f>'別紙様式2-3（６月以降分）'!AC126</f>
        <v>3</v>
      </c>
      <c r="AD126" s="1349" t="s">
        <v>2020</v>
      </c>
      <c r="AE126" s="1349" t="s">
        <v>20</v>
      </c>
      <c r="AF126" s="1349">
        <f>IF(W126&gt;=1,(AA126*12+AC126)-(W126*12+Y126)+1,"")</f>
        <v>10</v>
      </c>
      <c r="AG126" s="1351" t="s">
        <v>33</v>
      </c>
      <c r="AH126" s="1517" t="str">
        <f>'別紙様式2-3（６月以降分）'!AH126</f>
        <v/>
      </c>
      <c r="AI126" s="1519" t="str">
        <f>'別紙様式2-3（６月以降分）'!AI126</f>
        <v/>
      </c>
      <c r="AJ126" s="1521">
        <f>'別紙様式2-3（６月以降分）'!AJ126</f>
        <v>0</v>
      </c>
      <c r="AK126" s="1523" t="str">
        <f>IF('別紙様式2-3（６月以降分）'!AK126="","",'別紙様式2-3（６月以降分）'!AK126)</f>
        <v/>
      </c>
      <c r="AL126" s="1512">
        <f>'別紙様式2-3（６月以降分）'!AL126</f>
        <v>0</v>
      </c>
      <c r="AM126" s="1514" t="str">
        <f>IF('別紙様式2-3（６月以降分）'!AM126="","",'別紙様式2-3（６月以降分）'!AM126)</f>
        <v/>
      </c>
      <c r="AN126" s="1333" t="str">
        <f>IF('別紙様式2-3（６月以降分）'!AN126="","",'別紙様式2-3（６月以降分）'!AN126)</f>
        <v/>
      </c>
      <c r="AO126" s="1331" t="str">
        <f>IF('別紙様式2-3（６月以降分）'!AO126="","",'別紙様式2-3（６月以降分）'!AO126)</f>
        <v/>
      </c>
      <c r="AP126" s="1333" t="str">
        <f>IF('別紙様式2-3（６月以降分）'!AP126="","",'別紙様式2-3（６月以降分）'!AP126)</f>
        <v/>
      </c>
      <c r="AQ126" s="1481" t="str">
        <f>IF('別紙様式2-3（６月以降分）'!AQ126="","",'別紙様式2-3（６月以降分）'!AQ126)</f>
        <v/>
      </c>
      <c r="AR126" s="1484" t="str">
        <f>IF('別紙様式2-3（６月以降分）'!AR126="","",'別紙様式2-3（６月以降分）'!AR126)</f>
        <v/>
      </c>
      <c r="AS126" s="570" t="str">
        <f t="shared" ref="AS126" si="189">IF(AU128="","",IF(U128&lt;U126,"！加算の要件上は問題ありませんが、令和６年度当初の新加算の加算率と比較して、移行後の加算率が下がる計画になっています。",""))</f>
        <v/>
      </c>
      <c r="AT126" s="577"/>
      <c r="AU126" s="1301"/>
      <c r="AV126" s="555" t="str">
        <f>IF('別紙様式2-2（４・５月分）'!N98="","",'別紙様式2-2（４・５月分）'!N98)</f>
        <v/>
      </c>
      <c r="AW126" s="1305" t="str">
        <f>IF(SUM('別紙様式2-2（４・５月分）'!O98:O100)=0,"",SUM('別紙様式2-2（４・５月分）'!O98:O100))</f>
        <v/>
      </c>
      <c r="AX126" s="1473" t="str">
        <f>IFERROR(VLOOKUP(K126,【参考】数式用!$AH$2:$AI$34,2,FALSE),"")</f>
        <v/>
      </c>
      <c r="AY126" s="493"/>
      <c r="BD126" s="340"/>
      <c r="BE126" s="1303" t="str">
        <f>G126</f>
        <v/>
      </c>
      <c r="BF126" s="1303"/>
      <c r="BG126" s="1303"/>
    </row>
    <row r="127" spans="1:59" ht="15" customHeight="1">
      <c r="A127" s="1267"/>
      <c r="B127" s="1235"/>
      <c r="C127" s="1236"/>
      <c r="D127" s="1236"/>
      <c r="E127" s="1236"/>
      <c r="F127" s="1237"/>
      <c r="G127" s="1252"/>
      <c r="H127" s="1252"/>
      <c r="I127" s="1252"/>
      <c r="J127" s="1415"/>
      <c r="K127" s="1252"/>
      <c r="L127" s="1421"/>
      <c r="M127" s="1371" t="str">
        <f>IF('別紙様式2-2（４・５月分）'!P99="","",'別紙様式2-2（４・５月分）'!P99)</f>
        <v/>
      </c>
      <c r="N127" s="1392"/>
      <c r="O127" s="1398"/>
      <c r="P127" s="1399"/>
      <c r="Q127" s="1400"/>
      <c r="R127" s="1532"/>
      <c r="S127" s="1404"/>
      <c r="T127" s="1528"/>
      <c r="U127" s="1530"/>
      <c r="V127" s="1410"/>
      <c r="W127" s="1526"/>
      <c r="X127" s="1350"/>
      <c r="Y127" s="1526"/>
      <c r="Z127" s="1350"/>
      <c r="AA127" s="1526"/>
      <c r="AB127" s="1350"/>
      <c r="AC127" s="1526"/>
      <c r="AD127" s="1350"/>
      <c r="AE127" s="1350"/>
      <c r="AF127" s="1350"/>
      <c r="AG127" s="1352"/>
      <c r="AH127" s="1518"/>
      <c r="AI127" s="1520"/>
      <c r="AJ127" s="1522"/>
      <c r="AK127" s="1524"/>
      <c r="AL127" s="1513"/>
      <c r="AM127" s="1515"/>
      <c r="AN127" s="1334"/>
      <c r="AO127" s="1516"/>
      <c r="AP127" s="1334"/>
      <c r="AQ127" s="1482"/>
      <c r="AR127" s="1485"/>
      <c r="AS127" s="1483" t="str">
        <f t="shared" ref="AS127" si="190">IF(AU128="","",IF(OR(AA128="",AA128&lt;&gt;7,AC128="",AC128&lt;&gt;3),"！算定期間の終わりが令和７年３月になっていません。年度内の廃止予定等がなければ、算定対象月を令和７年３月にしてください。",""))</f>
        <v/>
      </c>
      <c r="AT127" s="577"/>
      <c r="AU127" s="1303"/>
      <c r="AV127" s="1304" t="str">
        <f>IF('別紙様式2-2（４・５月分）'!N99="","",'別紙様式2-2（４・５月分）'!N99)</f>
        <v/>
      </c>
      <c r="AW127" s="1305"/>
      <c r="AX127" s="1474"/>
      <c r="AY127" s="430"/>
      <c r="BD127" s="340"/>
      <c r="BE127" s="1303" t="str">
        <f>G126</f>
        <v/>
      </c>
      <c r="BF127" s="1303"/>
      <c r="BG127" s="1303"/>
    </row>
    <row r="128" spans="1:59" ht="15" customHeight="1">
      <c r="A128" s="1295"/>
      <c r="B128" s="1235"/>
      <c r="C128" s="1236"/>
      <c r="D128" s="1236"/>
      <c r="E128" s="1236"/>
      <c r="F128" s="1237"/>
      <c r="G128" s="1252"/>
      <c r="H128" s="1252"/>
      <c r="I128" s="1252"/>
      <c r="J128" s="1415"/>
      <c r="K128" s="1252"/>
      <c r="L128" s="1421"/>
      <c r="M128" s="1372"/>
      <c r="N128" s="1393"/>
      <c r="O128" s="1373" t="s">
        <v>2025</v>
      </c>
      <c r="P128" s="1425" t="str">
        <f>IFERROR(VLOOKUP('別紙様式2-2（４・５月分）'!AQ98,【参考】数式用!$AR$5:$AT$22,3,FALSE),"")</f>
        <v/>
      </c>
      <c r="Q128" s="1377" t="s">
        <v>2036</v>
      </c>
      <c r="R128" s="1508" t="str">
        <f>IFERROR(VLOOKUP(K126,【参考】数式用!$A$5:$AB$37,MATCH(P128,【参考】数式用!$B$4:$AB$4,0)+1,0),"")</f>
        <v/>
      </c>
      <c r="S128" s="1381" t="s">
        <v>2109</v>
      </c>
      <c r="T128" s="1510"/>
      <c r="U128" s="1506" t="str">
        <f>IFERROR(VLOOKUP(K126,【参考】数式用!$A$5:$AB$37,MATCH(T128,【参考】数式用!$B$4:$AB$4,0)+1,0),"")</f>
        <v/>
      </c>
      <c r="V128" s="1387" t="s">
        <v>15</v>
      </c>
      <c r="W128" s="1504"/>
      <c r="X128" s="1363" t="s">
        <v>10</v>
      </c>
      <c r="Y128" s="1504"/>
      <c r="Z128" s="1363" t="s">
        <v>38</v>
      </c>
      <c r="AA128" s="1504"/>
      <c r="AB128" s="1363" t="s">
        <v>10</v>
      </c>
      <c r="AC128" s="1504"/>
      <c r="AD128" s="1363" t="s">
        <v>2020</v>
      </c>
      <c r="AE128" s="1363" t="s">
        <v>20</v>
      </c>
      <c r="AF128" s="1363" t="str">
        <f>IF(W128&gt;=1,(AA128*12+AC128)-(W128*12+Y128)+1,"")</f>
        <v/>
      </c>
      <c r="AG128" s="1359" t="s">
        <v>33</v>
      </c>
      <c r="AH128" s="1365" t="str">
        <f t="shared" ref="AH128" si="191">IFERROR(ROUNDDOWN(ROUND(L126*U128,0),0)*AF128,"")</f>
        <v/>
      </c>
      <c r="AI128" s="1498" t="str">
        <f t="shared" ref="AI128" si="192">IFERROR(ROUNDDOWN(ROUND((L126*(U128-AW126)),0),0)*AF128,"")</f>
        <v/>
      </c>
      <c r="AJ128" s="1369" t="str">
        <f>IFERROR(ROUNDDOWN(ROUNDDOWN(ROUND(L126*VLOOKUP(K126,【参考】数式用!$A$5:$AB$27,MATCH("新加算Ⅳ",【参考】数式用!$B$4:$AB$4,0)+1,0),0),0)*AF128*0.5,0),"")</f>
        <v/>
      </c>
      <c r="AK128" s="1500"/>
      <c r="AL128" s="1502" t="str">
        <f>IFERROR(IF('別紙様式2-2（４・５月分）'!P128="ベア加算","", IF(OR(T128="新加算Ⅰ",T128="新加算Ⅱ",T128="新加算Ⅲ",T128="新加算Ⅳ"),ROUNDDOWN(ROUND(L126*VLOOKUP(K126,【参考】数式用!$A$5:$I$27,MATCH("ベア加算",【参考】数式用!$B$4:$I$4,0)+1,0),0),0)*AF128,"")),"")</f>
        <v/>
      </c>
      <c r="AM128" s="1494"/>
      <c r="AN128" s="1475"/>
      <c r="AO128" s="1496"/>
      <c r="AP128" s="1475"/>
      <c r="AQ128" s="1477"/>
      <c r="AR128" s="1479"/>
      <c r="AS128" s="1483"/>
      <c r="AT128" s="451"/>
      <c r="AU128" s="1303" t="str">
        <f>IF(AND(AA126&lt;&gt;7,AC126&lt;&gt;3),"V列に色付け","")</f>
        <v/>
      </c>
      <c r="AV128" s="1304"/>
      <c r="AW128" s="1305"/>
      <c r="AX128" s="574"/>
      <c r="AY128" s="1222" t="str">
        <f>IF(AL128&lt;&gt;"",IF(AM128="○","入力済","未入力"),"")</f>
        <v/>
      </c>
      <c r="AZ128" s="1222"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2" t="str">
        <f>IF(OR(T128="新加算Ⅴ（７）",T128="新加算Ⅴ（９）",T128="新加算Ⅴ（10）",T128="新加算Ⅴ（12）",T128="新加算Ⅴ（13）",T128="新加算Ⅴ（14）"),IF(OR(AO128="○",AO128="令和６年度中に満たす"),"入力済","未入力"),"")</f>
        <v/>
      </c>
      <c r="BB128" s="1222" t="str">
        <f>IF(OR(T128="新加算Ⅰ",T128="新加算Ⅱ",T128="新加算Ⅲ",T128="新加算Ⅴ（１）",T128="新加算Ⅴ（３）",T128="新加算Ⅴ（８）"),IF(OR(AP128="○",AP128="令和６年度中に満たす"),"入力済","未入力"),"")</f>
        <v/>
      </c>
      <c r="BC128" s="1472"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03" t="str">
        <f>IF(OR(T128="新加算Ⅰ",T128="新加算Ⅴ（１）",T128="新加算Ⅴ（２）",T128="新加算Ⅴ（５）",T128="新加算Ⅴ（７）",T128="新加算Ⅴ（10）"),IF(AR128="","未入力","入力済"),"")</f>
        <v/>
      </c>
      <c r="BE128" s="1303" t="str">
        <f>G126</f>
        <v/>
      </c>
      <c r="BF128" s="1303"/>
      <c r="BG128" s="1303"/>
    </row>
    <row r="129" spans="1:59" ht="30" customHeight="1" thickBot="1">
      <c r="A129" s="1268"/>
      <c r="B129" s="1411"/>
      <c r="C129" s="1412"/>
      <c r="D129" s="1412"/>
      <c r="E129" s="1412"/>
      <c r="F129" s="1413"/>
      <c r="G129" s="1253"/>
      <c r="H129" s="1253"/>
      <c r="I129" s="1253"/>
      <c r="J129" s="1416"/>
      <c r="K129" s="1253"/>
      <c r="L129" s="1422"/>
      <c r="M129" s="553" t="str">
        <f>IF('別紙様式2-2（４・５月分）'!P100="","",'別紙様式2-2（４・５月分）'!P100)</f>
        <v/>
      </c>
      <c r="N129" s="1394"/>
      <c r="O129" s="1374"/>
      <c r="P129" s="1426"/>
      <c r="Q129" s="1378"/>
      <c r="R129" s="1509"/>
      <c r="S129" s="1382"/>
      <c r="T129" s="1511"/>
      <c r="U129" s="1507"/>
      <c r="V129" s="1388"/>
      <c r="W129" s="1505"/>
      <c r="X129" s="1364"/>
      <c r="Y129" s="1505"/>
      <c r="Z129" s="1364"/>
      <c r="AA129" s="1505"/>
      <c r="AB129" s="1364"/>
      <c r="AC129" s="1505"/>
      <c r="AD129" s="1364"/>
      <c r="AE129" s="1364"/>
      <c r="AF129" s="1364"/>
      <c r="AG129" s="1360"/>
      <c r="AH129" s="1366"/>
      <c r="AI129" s="1499"/>
      <c r="AJ129" s="1370"/>
      <c r="AK129" s="1501"/>
      <c r="AL129" s="1503"/>
      <c r="AM129" s="1495"/>
      <c r="AN129" s="1476"/>
      <c r="AO129" s="1497"/>
      <c r="AP129" s="1476"/>
      <c r="AQ129" s="1478"/>
      <c r="AR129" s="1480"/>
      <c r="AS129" s="575"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1"/>
      <c r="AU129" s="1303"/>
      <c r="AV129" s="555" t="str">
        <f>IF('別紙様式2-2（４・５月分）'!N100="","",'別紙様式2-2（４・５月分）'!N100)</f>
        <v/>
      </c>
      <c r="AW129" s="1305"/>
      <c r="AX129" s="576"/>
      <c r="AY129" s="1222" t="str">
        <f>IF(OR(T129="新加算Ⅰ",T129="新加算Ⅱ",T129="新加算Ⅲ",T129="新加算Ⅳ",T129="新加算Ⅴ（１）",T129="新加算Ⅴ（２）",T129="新加算Ⅴ（３）",T129="新加算ⅠⅤ（４）",T129="新加算Ⅴ（５）",T129="新加算Ⅴ（６）",T129="新加算Ⅴ（８）",T129="新加算Ⅴ（11）"),IF(AI129="○","","未入力"),"")</f>
        <v/>
      </c>
      <c r="AZ129" s="1222" t="str">
        <f>IF(OR(U129="新加算Ⅰ",U129="新加算Ⅱ",U129="新加算Ⅲ",U129="新加算Ⅳ",U129="新加算Ⅴ（１）",U129="新加算Ⅴ（２）",U129="新加算Ⅴ（３）",U129="新加算ⅠⅤ（４）",U129="新加算Ⅴ（５）",U129="新加算Ⅴ（６）",U129="新加算Ⅴ（８）",U129="新加算Ⅴ（11）"),IF(AJ129="○","","未入力"),"")</f>
        <v/>
      </c>
      <c r="BA129" s="1222" t="str">
        <f>IF(OR(U129="新加算Ⅴ（７）",U129="新加算Ⅴ（９）",U129="新加算Ⅴ（10）",U129="新加算Ⅴ（12）",U129="新加算Ⅴ（13）",U129="新加算Ⅴ（14）"),IF(AK129="○","","未入力"),"")</f>
        <v/>
      </c>
      <c r="BB129" s="1222" t="str">
        <f>IF(OR(U129="新加算Ⅰ",U129="新加算Ⅱ",U129="新加算Ⅲ",U129="新加算Ⅴ（１）",U129="新加算Ⅴ（３）",U129="新加算Ⅴ（８）"),IF(AL129="○","","未入力"),"")</f>
        <v/>
      </c>
      <c r="BC129" s="1472"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03" t="str">
        <f>IF(AND(T129&lt;&gt;"（参考）令和７年度の移行予定",OR(U129="新加算Ⅰ",U129="新加算Ⅴ（１）",U129="新加算Ⅴ（２）",U129="新加算Ⅴ（５）",U129="新加算Ⅴ（７）",U129="新加算Ⅴ（10）")),IF(AN129="","未入力",IF(AN129="いずれも取得していない","要件を満たさない","")),"")</f>
        <v/>
      </c>
      <c r="BE129" s="1303" t="str">
        <f>G126</f>
        <v/>
      </c>
      <c r="BF129" s="1303"/>
      <c r="BG129" s="1303"/>
    </row>
    <row r="130" spans="1:59" ht="30" customHeight="1">
      <c r="A130" s="1293">
        <v>30</v>
      </c>
      <c r="B130" s="1232" t="str">
        <f>IF(基本情報入力シート!C83="","",基本情報入力シート!C83)</f>
        <v/>
      </c>
      <c r="C130" s="1233"/>
      <c r="D130" s="1233"/>
      <c r="E130" s="1233"/>
      <c r="F130" s="1234"/>
      <c r="G130" s="1251" t="str">
        <f>IF(基本情報入力シート!M83="","",基本情報入力シート!M83)</f>
        <v/>
      </c>
      <c r="H130" s="1251" t="str">
        <f>IF(基本情報入力シート!R83="","",基本情報入力シート!R83)</f>
        <v/>
      </c>
      <c r="I130" s="1251" t="str">
        <f>IF(基本情報入力シート!W83="","",基本情報入力シート!W83)</f>
        <v/>
      </c>
      <c r="J130" s="1414" t="str">
        <f>IF(基本情報入力シート!X83="","",基本情報入力シート!X83)</f>
        <v/>
      </c>
      <c r="K130" s="1251" t="str">
        <f>IF(基本情報入力シート!Y83="","",基本情報入力シート!Y83)</f>
        <v/>
      </c>
      <c r="L130" s="1427" t="str">
        <f>IF(基本情報入力シート!AB83="","",基本情報入力シート!AB83)</f>
        <v/>
      </c>
      <c r="M130" s="550" t="str">
        <f>IF('別紙様式2-2（４・５月分）'!P101="","",'別紙様式2-2（４・５月分）'!P101)</f>
        <v/>
      </c>
      <c r="N130" s="1391" t="str">
        <f>IF(SUM('別紙様式2-2（４・５月分）'!Q101:Q103)=0,"",SUM('別紙様式2-2（４・５月分）'!Q101:Q103))</f>
        <v/>
      </c>
      <c r="O130" s="1395" t="str">
        <f>IFERROR(VLOOKUP('別紙様式2-2（４・５月分）'!AQ101,【参考】数式用!$AR$5:$AS$22,2,FALSE),"")</f>
        <v/>
      </c>
      <c r="P130" s="1396"/>
      <c r="Q130" s="1397"/>
      <c r="R130" s="1531" t="str">
        <f>IFERROR(VLOOKUP(K130,【参考】数式用!$A$5:$AB$37,MATCH(O130,【参考】数式用!$B$4:$AB$4,0)+1,0),"")</f>
        <v/>
      </c>
      <c r="S130" s="1403" t="s">
        <v>2102</v>
      </c>
      <c r="T130" s="1527" t="str">
        <f>IF('別紙様式2-3（６月以降分）'!T130="","",'別紙様式2-3（６月以降分）'!T130)</f>
        <v/>
      </c>
      <c r="U130" s="1529" t="str">
        <f>IFERROR(VLOOKUP(K130,【参考】数式用!$A$5:$AB$37,MATCH(T130,【参考】数式用!$B$4:$AB$4,0)+1,0),"")</f>
        <v/>
      </c>
      <c r="V130" s="1409" t="s">
        <v>15</v>
      </c>
      <c r="W130" s="1525">
        <f>'別紙様式2-3（６月以降分）'!W130</f>
        <v>6</v>
      </c>
      <c r="X130" s="1349" t="s">
        <v>10</v>
      </c>
      <c r="Y130" s="1525">
        <f>'別紙様式2-3（６月以降分）'!Y130</f>
        <v>6</v>
      </c>
      <c r="Z130" s="1349" t="s">
        <v>38</v>
      </c>
      <c r="AA130" s="1525">
        <f>'別紙様式2-3（６月以降分）'!AA130</f>
        <v>7</v>
      </c>
      <c r="AB130" s="1349" t="s">
        <v>10</v>
      </c>
      <c r="AC130" s="1525">
        <f>'別紙様式2-3（６月以降分）'!AC130</f>
        <v>3</v>
      </c>
      <c r="AD130" s="1349" t="s">
        <v>2020</v>
      </c>
      <c r="AE130" s="1349" t="s">
        <v>20</v>
      </c>
      <c r="AF130" s="1349">
        <f>IF(W130&gt;=1,(AA130*12+AC130)-(W130*12+Y130)+1,"")</f>
        <v>10</v>
      </c>
      <c r="AG130" s="1351" t="s">
        <v>33</v>
      </c>
      <c r="AH130" s="1517" t="str">
        <f>'別紙様式2-3（６月以降分）'!AH130</f>
        <v/>
      </c>
      <c r="AI130" s="1519" t="str">
        <f>'別紙様式2-3（６月以降分）'!AI130</f>
        <v/>
      </c>
      <c r="AJ130" s="1521">
        <f>'別紙様式2-3（６月以降分）'!AJ130</f>
        <v>0</v>
      </c>
      <c r="AK130" s="1523" t="str">
        <f>IF('別紙様式2-3（６月以降分）'!AK130="","",'別紙様式2-3（６月以降分）'!AK130)</f>
        <v/>
      </c>
      <c r="AL130" s="1512">
        <f>'別紙様式2-3（６月以降分）'!AL130</f>
        <v>0</v>
      </c>
      <c r="AM130" s="1514" t="str">
        <f>IF('別紙様式2-3（６月以降分）'!AM130="","",'別紙様式2-3（６月以降分）'!AM130)</f>
        <v/>
      </c>
      <c r="AN130" s="1333" t="str">
        <f>IF('別紙様式2-3（６月以降分）'!AN130="","",'別紙様式2-3（６月以降分）'!AN130)</f>
        <v/>
      </c>
      <c r="AO130" s="1331" t="str">
        <f>IF('別紙様式2-3（６月以降分）'!AO130="","",'別紙様式2-3（６月以降分）'!AO130)</f>
        <v/>
      </c>
      <c r="AP130" s="1333" t="str">
        <f>IF('別紙様式2-3（６月以降分）'!AP130="","",'別紙様式2-3（６月以降分）'!AP130)</f>
        <v/>
      </c>
      <c r="AQ130" s="1481" t="str">
        <f>IF('別紙様式2-3（６月以降分）'!AQ130="","",'別紙様式2-3（６月以降分）'!AQ130)</f>
        <v/>
      </c>
      <c r="AR130" s="1484" t="str">
        <f>IF('別紙様式2-3（６月以降分）'!AR130="","",'別紙様式2-3（６月以降分）'!AR130)</f>
        <v/>
      </c>
      <c r="AS130" s="570" t="str">
        <f t="shared" ref="AS130" si="196">IF(AU132="","",IF(U132&lt;U130,"！加算の要件上は問題ありませんが、令和６年度当初の新加算の加算率と比較して、移行後の加算率が下がる計画になっています。",""))</f>
        <v/>
      </c>
      <c r="AT130" s="577"/>
      <c r="AU130" s="1301"/>
      <c r="AV130" s="555" t="str">
        <f>IF('別紙様式2-2（４・５月分）'!N101="","",'別紙様式2-2（４・５月分）'!N101)</f>
        <v/>
      </c>
      <c r="AW130" s="1305" t="str">
        <f>IF(SUM('別紙様式2-2（４・５月分）'!O101:O103)=0,"",SUM('別紙様式2-2（４・５月分）'!O101:O103))</f>
        <v/>
      </c>
      <c r="AX130" s="1473" t="str">
        <f>IFERROR(VLOOKUP(K130,【参考】数式用!$AH$2:$AI$34,2,FALSE),"")</f>
        <v/>
      </c>
      <c r="AY130" s="493"/>
      <c r="BD130" s="340"/>
      <c r="BE130" s="1303" t="str">
        <f>G130</f>
        <v/>
      </c>
      <c r="BF130" s="1303"/>
      <c r="BG130" s="1303"/>
    </row>
    <row r="131" spans="1:59" ht="15" customHeight="1">
      <c r="A131" s="1267"/>
      <c r="B131" s="1235"/>
      <c r="C131" s="1236"/>
      <c r="D131" s="1236"/>
      <c r="E131" s="1236"/>
      <c r="F131" s="1237"/>
      <c r="G131" s="1252"/>
      <c r="H131" s="1252"/>
      <c r="I131" s="1252"/>
      <c r="J131" s="1415"/>
      <c r="K131" s="1252"/>
      <c r="L131" s="1421"/>
      <c r="M131" s="1371" t="str">
        <f>IF('別紙様式2-2（４・５月分）'!P102="","",'別紙様式2-2（４・５月分）'!P102)</f>
        <v/>
      </c>
      <c r="N131" s="1392"/>
      <c r="O131" s="1398"/>
      <c r="P131" s="1399"/>
      <c r="Q131" s="1400"/>
      <c r="R131" s="1532"/>
      <c r="S131" s="1404"/>
      <c r="T131" s="1528"/>
      <c r="U131" s="1530"/>
      <c r="V131" s="1410"/>
      <c r="W131" s="1526"/>
      <c r="X131" s="1350"/>
      <c r="Y131" s="1526"/>
      <c r="Z131" s="1350"/>
      <c r="AA131" s="1526"/>
      <c r="AB131" s="1350"/>
      <c r="AC131" s="1526"/>
      <c r="AD131" s="1350"/>
      <c r="AE131" s="1350"/>
      <c r="AF131" s="1350"/>
      <c r="AG131" s="1352"/>
      <c r="AH131" s="1518"/>
      <c r="AI131" s="1520"/>
      <c r="AJ131" s="1522"/>
      <c r="AK131" s="1524"/>
      <c r="AL131" s="1513"/>
      <c r="AM131" s="1515"/>
      <c r="AN131" s="1334"/>
      <c r="AO131" s="1516"/>
      <c r="AP131" s="1334"/>
      <c r="AQ131" s="1482"/>
      <c r="AR131" s="1485"/>
      <c r="AS131" s="1483" t="str">
        <f t="shared" ref="AS131" si="197">IF(AU132="","",IF(OR(AA132="",AA132&lt;&gt;7,AC132="",AC132&lt;&gt;3),"！算定期間の終わりが令和７年３月になっていません。年度内の廃止予定等がなければ、算定対象月を令和７年３月にしてください。",""))</f>
        <v/>
      </c>
      <c r="AT131" s="577"/>
      <c r="AU131" s="1303"/>
      <c r="AV131" s="1304" t="str">
        <f>IF('別紙様式2-2（４・５月分）'!N102="","",'別紙様式2-2（４・５月分）'!N102)</f>
        <v/>
      </c>
      <c r="AW131" s="1305"/>
      <c r="AX131" s="1474"/>
      <c r="AY131" s="430"/>
      <c r="BD131" s="340"/>
      <c r="BE131" s="1303" t="str">
        <f>G130</f>
        <v/>
      </c>
      <c r="BF131" s="1303"/>
      <c r="BG131" s="1303"/>
    </row>
    <row r="132" spans="1:59" ht="15" customHeight="1">
      <c r="A132" s="1295"/>
      <c r="B132" s="1235"/>
      <c r="C132" s="1236"/>
      <c r="D132" s="1236"/>
      <c r="E132" s="1236"/>
      <c r="F132" s="1237"/>
      <c r="G132" s="1252"/>
      <c r="H132" s="1252"/>
      <c r="I132" s="1252"/>
      <c r="J132" s="1415"/>
      <c r="K132" s="1252"/>
      <c r="L132" s="1421"/>
      <c r="M132" s="1372"/>
      <c r="N132" s="1393"/>
      <c r="O132" s="1373" t="s">
        <v>2025</v>
      </c>
      <c r="P132" s="1425" t="str">
        <f>IFERROR(VLOOKUP('別紙様式2-2（４・５月分）'!AQ101,【参考】数式用!$AR$5:$AT$22,3,FALSE),"")</f>
        <v/>
      </c>
      <c r="Q132" s="1377" t="s">
        <v>2036</v>
      </c>
      <c r="R132" s="1508" t="str">
        <f>IFERROR(VLOOKUP(K130,【参考】数式用!$A$5:$AB$37,MATCH(P132,【参考】数式用!$B$4:$AB$4,0)+1,0),"")</f>
        <v/>
      </c>
      <c r="S132" s="1381" t="s">
        <v>2109</v>
      </c>
      <c r="T132" s="1510"/>
      <c r="U132" s="1506" t="str">
        <f>IFERROR(VLOOKUP(K130,【参考】数式用!$A$5:$AB$37,MATCH(T132,【参考】数式用!$B$4:$AB$4,0)+1,0),"")</f>
        <v/>
      </c>
      <c r="V132" s="1387" t="s">
        <v>15</v>
      </c>
      <c r="W132" s="1504"/>
      <c r="X132" s="1363" t="s">
        <v>10</v>
      </c>
      <c r="Y132" s="1504"/>
      <c r="Z132" s="1363" t="s">
        <v>38</v>
      </c>
      <c r="AA132" s="1504"/>
      <c r="AB132" s="1363" t="s">
        <v>10</v>
      </c>
      <c r="AC132" s="1504"/>
      <c r="AD132" s="1363" t="s">
        <v>2020</v>
      </c>
      <c r="AE132" s="1363" t="s">
        <v>20</v>
      </c>
      <c r="AF132" s="1363" t="str">
        <f>IF(W132&gt;=1,(AA132*12+AC132)-(W132*12+Y132)+1,"")</f>
        <v/>
      </c>
      <c r="AG132" s="1359" t="s">
        <v>33</v>
      </c>
      <c r="AH132" s="1365" t="str">
        <f t="shared" ref="AH132" si="198">IFERROR(ROUNDDOWN(ROUND(L130*U132,0),0)*AF132,"")</f>
        <v/>
      </c>
      <c r="AI132" s="1498" t="str">
        <f t="shared" ref="AI132" si="199">IFERROR(ROUNDDOWN(ROUND((L130*(U132-AW130)),0),0)*AF132,"")</f>
        <v/>
      </c>
      <c r="AJ132" s="1369" t="str">
        <f>IFERROR(ROUNDDOWN(ROUNDDOWN(ROUND(L130*VLOOKUP(K130,【参考】数式用!$A$5:$AB$27,MATCH("新加算Ⅳ",【参考】数式用!$B$4:$AB$4,0)+1,0),0),0)*AF132*0.5,0),"")</f>
        <v/>
      </c>
      <c r="AK132" s="1500"/>
      <c r="AL132" s="1502" t="str">
        <f>IFERROR(IF('別紙様式2-2（４・５月分）'!P132="ベア加算","", IF(OR(T132="新加算Ⅰ",T132="新加算Ⅱ",T132="新加算Ⅲ",T132="新加算Ⅳ"),ROUNDDOWN(ROUND(L130*VLOOKUP(K130,【参考】数式用!$A$5:$I$27,MATCH("ベア加算",【参考】数式用!$B$4:$I$4,0)+1,0),0),0)*AF132,"")),"")</f>
        <v/>
      </c>
      <c r="AM132" s="1494"/>
      <c r="AN132" s="1475"/>
      <c r="AO132" s="1496"/>
      <c r="AP132" s="1475"/>
      <c r="AQ132" s="1477"/>
      <c r="AR132" s="1479"/>
      <c r="AS132" s="1483"/>
      <c r="AT132" s="451"/>
      <c r="AU132" s="1303" t="str">
        <f>IF(AND(AA130&lt;&gt;7,AC130&lt;&gt;3),"V列に色付け","")</f>
        <v/>
      </c>
      <c r="AV132" s="1304"/>
      <c r="AW132" s="1305"/>
      <c r="AX132" s="574"/>
      <c r="AY132" s="1222" t="str">
        <f>IF(AL132&lt;&gt;"",IF(AM132="○","入力済","未入力"),"")</f>
        <v/>
      </c>
      <c r="AZ132" s="1222"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2" t="str">
        <f>IF(OR(T132="新加算Ⅴ（７）",T132="新加算Ⅴ（９）",T132="新加算Ⅴ（10）",T132="新加算Ⅴ（12）",T132="新加算Ⅴ（13）",T132="新加算Ⅴ（14）"),IF(OR(AO132="○",AO132="令和６年度中に満たす"),"入力済","未入力"),"")</f>
        <v/>
      </c>
      <c r="BB132" s="1222" t="str">
        <f>IF(OR(T132="新加算Ⅰ",T132="新加算Ⅱ",T132="新加算Ⅲ",T132="新加算Ⅴ（１）",T132="新加算Ⅴ（３）",T132="新加算Ⅴ（８）"),IF(OR(AP132="○",AP132="令和６年度中に満たす"),"入力済","未入力"),"")</f>
        <v/>
      </c>
      <c r="BC132" s="1472"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03" t="str">
        <f>IF(OR(T132="新加算Ⅰ",T132="新加算Ⅴ（１）",T132="新加算Ⅴ（２）",T132="新加算Ⅴ（５）",T132="新加算Ⅴ（７）",T132="新加算Ⅴ（10）"),IF(AR132="","未入力","入力済"),"")</f>
        <v/>
      </c>
      <c r="BE132" s="1303" t="str">
        <f>G130</f>
        <v/>
      </c>
      <c r="BF132" s="1303"/>
      <c r="BG132" s="1303"/>
    </row>
    <row r="133" spans="1:59" ht="30" customHeight="1" thickBot="1">
      <c r="A133" s="1268"/>
      <c r="B133" s="1411"/>
      <c r="C133" s="1412"/>
      <c r="D133" s="1412"/>
      <c r="E133" s="1412"/>
      <c r="F133" s="1413"/>
      <c r="G133" s="1253"/>
      <c r="H133" s="1253"/>
      <c r="I133" s="1253"/>
      <c r="J133" s="1416"/>
      <c r="K133" s="1253"/>
      <c r="L133" s="1422"/>
      <c r="M133" s="553" t="str">
        <f>IF('別紙様式2-2（４・５月分）'!P103="","",'別紙様式2-2（４・５月分）'!P103)</f>
        <v/>
      </c>
      <c r="N133" s="1394"/>
      <c r="O133" s="1374"/>
      <c r="P133" s="1426"/>
      <c r="Q133" s="1378"/>
      <c r="R133" s="1509"/>
      <c r="S133" s="1382"/>
      <c r="T133" s="1511"/>
      <c r="U133" s="1507"/>
      <c r="V133" s="1388"/>
      <c r="W133" s="1505"/>
      <c r="X133" s="1364"/>
      <c r="Y133" s="1505"/>
      <c r="Z133" s="1364"/>
      <c r="AA133" s="1505"/>
      <c r="AB133" s="1364"/>
      <c r="AC133" s="1505"/>
      <c r="AD133" s="1364"/>
      <c r="AE133" s="1364"/>
      <c r="AF133" s="1364"/>
      <c r="AG133" s="1360"/>
      <c r="AH133" s="1366"/>
      <c r="AI133" s="1499"/>
      <c r="AJ133" s="1370"/>
      <c r="AK133" s="1501"/>
      <c r="AL133" s="1503"/>
      <c r="AM133" s="1495"/>
      <c r="AN133" s="1476"/>
      <c r="AO133" s="1497"/>
      <c r="AP133" s="1476"/>
      <c r="AQ133" s="1478"/>
      <c r="AR133" s="1480"/>
      <c r="AS133" s="575"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1"/>
      <c r="AU133" s="1303"/>
      <c r="AV133" s="555" t="str">
        <f>IF('別紙様式2-2（４・５月分）'!N103="","",'別紙様式2-2（４・５月分）'!N103)</f>
        <v/>
      </c>
      <c r="AW133" s="1305"/>
      <c r="AX133" s="576"/>
      <c r="AY133" s="1222" t="str">
        <f>IF(OR(T133="新加算Ⅰ",T133="新加算Ⅱ",T133="新加算Ⅲ",T133="新加算Ⅳ",T133="新加算Ⅴ（１）",T133="新加算Ⅴ（２）",T133="新加算Ⅴ（３）",T133="新加算ⅠⅤ（４）",T133="新加算Ⅴ（５）",T133="新加算Ⅴ（６）",T133="新加算Ⅴ（８）",T133="新加算Ⅴ（11）"),IF(AI133="○","","未入力"),"")</f>
        <v/>
      </c>
      <c r="AZ133" s="1222" t="str">
        <f>IF(OR(U133="新加算Ⅰ",U133="新加算Ⅱ",U133="新加算Ⅲ",U133="新加算Ⅳ",U133="新加算Ⅴ（１）",U133="新加算Ⅴ（２）",U133="新加算Ⅴ（３）",U133="新加算ⅠⅤ（４）",U133="新加算Ⅴ（５）",U133="新加算Ⅴ（６）",U133="新加算Ⅴ（８）",U133="新加算Ⅴ（11）"),IF(AJ133="○","","未入力"),"")</f>
        <v/>
      </c>
      <c r="BA133" s="1222" t="str">
        <f>IF(OR(U133="新加算Ⅴ（７）",U133="新加算Ⅴ（９）",U133="新加算Ⅴ（10）",U133="新加算Ⅴ（12）",U133="新加算Ⅴ（13）",U133="新加算Ⅴ（14）"),IF(AK133="○","","未入力"),"")</f>
        <v/>
      </c>
      <c r="BB133" s="1222" t="str">
        <f>IF(OR(U133="新加算Ⅰ",U133="新加算Ⅱ",U133="新加算Ⅲ",U133="新加算Ⅴ（１）",U133="新加算Ⅴ（３）",U133="新加算Ⅴ（８）"),IF(AL133="○","","未入力"),"")</f>
        <v/>
      </c>
      <c r="BC133" s="1472"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03" t="str">
        <f>IF(AND(T133&lt;&gt;"（参考）令和７年度の移行予定",OR(U133="新加算Ⅰ",U133="新加算Ⅴ（１）",U133="新加算Ⅴ（２）",U133="新加算Ⅴ（５）",U133="新加算Ⅴ（７）",U133="新加算Ⅴ（10）")),IF(AN133="","未入力",IF(AN133="いずれも取得していない","要件を満たさない","")),"")</f>
        <v/>
      </c>
      <c r="BE133" s="1303" t="str">
        <f>G130</f>
        <v/>
      </c>
      <c r="BF133" s="1303"/>
      <c r="BG133" s="1303"/>
    </row>
    <row r="134" spans="1:59" ht="30" customHeight="1">
      <c r="A134" s="1266">
        <v>31</v>
      </c>
      <c r="B134" s="1235" t="str">
        <f>IF(基本情報入力シート!C84="","",基本情報入力シート!C84)</f>
        <v/>
      </c>
      <c r="C134" s="1236"/>
      <c r="D134" s="1236"/>
      <c r="E134" s="1236"/>
      <c r="F134" s="1237"/>
      <c r="G134" s="1252" t="str">
        <f>IF(基本情報入力シート!M84="","",基本情報入力シート!M84)</f>
        <v/>
      </c>
      <c r="H134" s="1252" t="str">
        <f>IF(基本情報入力シート!R84="","",基本情報入力シート!R84)</f>
        <v/>
      </c>
      <c r="I134" s="1252" t="str">
        <f>IF(基本情報入力シート!W84="","",基本情報入力シート!W84)</f>
        <v/>
      </c>
      <c r="J134" s="1415" t="str">
        <f>IF(基本情報入力シート!X84="","",基本情報入力シート!X84)</f>
        <v/>
      </c>
      <c r="K134" s="1252" t="str">
        <f>IF(基本情報入力シート!Y84="","",基本情報入力シート!Y84)</f>
        <v/>
      </c>
      <c r="L134" s="1421" t="str">
        <f>IF(基本情報入力シート!AB84="","",基本情報入力シート!AB84)</f>
        <v/>
      </c>
      <c r="M134" s="550" t="str">
        <f>IF('別紙様式2-2（４・５月分）'!P104="","",'別紙様式2-2（４・５月分）'!P104)</f>
        <v/>
      </c>
      <c r="N134" s="1391" t="str">
        <f>IF(SUM('別紙様式2-2（４・５月分）'!Q104:Q106)=0,"",SUM('別紙様式2-2（４・５月分）'!Q104:Q106))</f>
        <v/>
      </c>
      <c r="O134" s="1395" t="str">
        <f>IFERROR(VLOOKUP('別紙様式2-2（４・５月分）'!AQ104,【参考】数式用!$AR$5:$AS$22,2,FALSE),"")</f>
        <v/>
      </c>
      <c r="P134" s="1396"/>
      <c r="Q134" s="1397"/>
      <c r="R134" s="1531" t="str">
        <f>IFERROR(VLOOKUP(K134,【参考】数式用!$A$5:$AB$37,MATCH(O134,【参考】数式用!$B$4:$AB$4,0)+1,0),"")</f>
        <v/>
      </c>
      <c r="S134" s="1403" t="s">
        <v>2102</v>
      </c>
      <c r="T134" s="1527" t="str">
        <f>IF('別紙様式2-3（６月以降分）'!T134="","",'別紙様式2-3（６月以降分）'!T134)</f>
        <v/>
      </c>
      <c r="U134" s="1529" t="str">
        <f>IFERROR(VLOOKUP(K134,【参考】数式用!$A$5:$AB$37,MATCH(T134,【参考】数式用!$B$4:$AB$4,0)+1,0),"")</f>
        <v/>
      </c>
      <c r="V134" s="1409" t="s">
        <v>15</v>
      </c>
      <c r="W134" s="1525">
        <f>'別紙様式2-3（６月以降分）'!W134</f>
        <v>6</v>
      </c>
      <c r="X134" s="1349" t="s">
        <v>10</v>
      </c>
      <c r="Y134" s="1525">
        <f>'別紙様式2-3（６月以降分）'!Y134</f>
        <v>6</v>
      </c>
      <c r="Z134" s="1349" t="s">
        <v>38</v>
      </c>
      <c r="AA134" s="1525">
        <f>'別紙様式2-3（６月以降分）'!AA134</f>
        <v>7</v>
      </c>
      <c r="AB134" s="1349" t="s">
        <v>10</v>
      </c>
      <c r="AC134" s="1525">
        <f>'別紙様式2-3（６月以降分）'!AC134</f>
        <v>3</v>
      </c>
      <c r="AD134" s="1349" t="s">
        <v>2020</v>
      </c>
      <c r="AE134" s="1349" t="s">
        <v>20</v>
      </c>
      <c r="AF134" s="1349">
        <f>IF(W134&gt;=1,(AA134*12+AC134)-(W134*12+Y134)+1,"")</f>
        <v>10</v>
      </c>
      <c r="AG134" s="1351" t="s">
        <v>33</v>
      </c>
      <c r="AH134" s="1517" t="str">
        <f>'別紙様式2-3（６月以降分）'!AH134</f>
        <v/>
      </c>
      <c r="AI134" s="1519" t="str">
        <f>'別紙様式2-3（６月以降分）'!AI134</f>
        <v/>
      </c>
      <c r="AJ134" s="1521">
        <f>'別紙様式2-3（６月以降分）'!AJ134</f>
        <v>0</v>
      </c>
      <c r="AK134" s="1523" t="str">
        <f>IF('別紙様式2-3（６月以降分）'!AK134="","",'別紙様式2-3（６月以降分）'!AK134)</f>
        <v/>
      </c>
      <c r="AL134" s="1512">
        <f>'別紙様式2-3（６月以降分）'!AL134</f>
        <v>0</v>
      </c>
      <c r="AM134" s="1514" t="str">
        <f>IF('別紙様式2-3（６月以降分）'!AM134="","",'別紙様式2-3（６月以降分）'!AM134)</f>
        <v/>
      </c>
      <c r="AN134" s="1333" t="str">
        <f>IF('別紙様式2-3（６月以降分）'!AN134="","",'別紙様式2-3（６月以降分）'!AN134)</f>
        <v/>
      </c>
      <c r="AO134" s="1331" t="str">
        <f>IF('別紙様式2-3（６月以降分）'!AO134="","",'別紙様式2-3（６月以降分）'!AO134)</f>
        <v/>
      </c>
      <c r="AP134" s="1333" t="str">
        <f>IF('別紙様式2-3（６月以降分）'!AP134="","",'別紙様式2-3（６月以降分）'!AP134)</f>
        <v/>
      </c>
      <c r="AQ134" s="1481" t="str">
        <f>IF('別紙様式2-3（６月以降分）'!AQ134="","",'別紙様式2-3（６月以降分）'!AQ134)</f>
        <v/>
      </c>
      <c r="AR134" s="1484" t="str">
        <f>IF('別紙様式2-3（６月以降分）'!AR134="","",'別紙様式2-3（６月以降分）'!AR134)</f>
        <v/>
      </c>
      <c r="AS134" s="570" t="str">
        <f t="shared" ref="AS134" si="203">IF(AU136="","",IF(U136&lt;U134,"！加算の要件上は問題ありませんが、令和６年度当初の新加算の加算率と比較して、移行後の加算率が下がる計画になっています。",""))</f>
        <v/>
      </c>
      <c r="AT134" s="577"/>
      <c r="AU134" s="1301"/>
      <c r="AV134" s="555" t="str">
        <f>IF('別紙様式2-2（４・５月分）'!N104="","",'別紙様式2-2（４・５月分）'!N104)</f>
        <v/>
      </c>
      <c r="AW134" s="1305" t="str">
        <f>IF(SUM('別紙様式2-2（４・５月分）'!O104:O106)=0,"",SUM('別紙様式2-2（４・５月分）'!O104:O106))</f>
        <v/>
      </c>
      <c r="AX134" s="1473" t="str">
        <f>IFERROR(VLOOKUP(K134,【参考】数式用!$AH$2:$AI$34,2,FALSE),"")</f>
        <v/>
      </c>
      <c r="AY134" s="493"/>
      <c r="BD134" s="340"/>
      <c r="BE134" s="1303" t="str">
        <f>G134</f>
        <v/>
      </c>
      <c r="BF134" s="1303"/>
      <c r="BG134" s="1303"/>
    </row>
    <row r="135" spans="1:59" ht="15" customHeight="1">
      <c r="A135" s="1267"/>
      <c r="B135" s="1235"/>
      <c r="C135" s="1236"/>
      <c r="D135" s="1236"/>
      <c r="E135" s="1236"/>
      <c r="F135" s="1237"/>
      <c r="G135" s="1252"/>
      <c r="H135" s="1252"/>
      <c r="I135" s="1252"/>
      <c r="J135" s="1415"/>
      <c r="K135" s="1252"/>
      <c r="L135" s="1421"/>
      <c r="M135" s="1371" t="str">
        <f>IF('別紙様式2-2（４・５月分）'!P105="","",'別紙様式2-2（４・５月分）'!P105)</f>
        <v/>
      </c>
      <c r="N135" s="1392"/>
      <c r="O135" s="1398"/>
      <c r="P135" s="1399"/>
      <c r="Q135" s="1400"/>
      <c r="R135" s="1532"/>
      <c r="S135" s="1404"/>
      <c r="T135" s="1528"/>
      <c r="U135" s="1530"/>
      <c r="V135" s="1410"/>
      <c r="W135" s="1526"/>
      <c r="X135" s="1350"/>
      <c r="Y135" s="1526"/>
      <c r="Z135" s="1350"/>
      <c r="AA135" s="1526"/>
      <c r="AB135" s="1350"/>
      <c r="AC135" s="1526"/>
      <c r="AD135" s="1350"/>
      <c r="AE135" s="1350"/>
      <c r="AF135" s="1350"/>
      <c r="AG135" s="1352"/>
      <c r="AH135" s="1518"/>
      <c r="AI135" s="1520"/>
      <c r="AJ135" s="1522"/>
      <c r="AK135" s="1524"/>
      <c r="AL135" s="1513"/>
      <c r="AM135" s="1515"/>
      <c r="AN135" s="1334"/>
      <c r="AO135" s="1516"/>
      <c r="AP135" s="1334"/>
      <c r="AQ135" s="1482"/>
      <c r="AR135" s="1485"/>
      <c r="AS135" s="1483" t="str">
        <f t="shared" ref="AS135" si="204">IF(AU136="","",IF(OR(AA136="",AA136&lt;&gt;7,AC136="",AC136&lt;&gt;3),"！算定期間の終わりが令和７年３月になっていません。年度内の廃止予定等がなければ、算定対象月を令和７年３月にしてください。",""))</f>
        <v/>
      </c>
      <c r="AT135" s="577"/>
      <c r="AU135" s="1303"/>
      <c r="AV135" s="1304" t="str">
        <f>IF('別紙様式2-2（４・５月分）'!N105="","",'別紙様式2-2（４・５月分）'!N105)</f>
        <v/>
      </c>
      <c r="AW135" s="1305"/>
      <c r="AX135" s="1474"/>
      <c r="AY135" s="430"/>
      <c r="BD135" s="340"/>
      <c r="BE135" s="1303" t="str">
        <f>G134</f>
        <v/>
      </c>
      <c r="BF135" s="1303"/>
      <c r="BG135" s="1303"/>
    </row>
    <row r="136" spans="1:59" ht="15" customHeight="1">
      <c r="A136" s="1295"/>
      <c r="B136" s="1235"/>
      <c r="C136" s="1236"/>
      <c r="D136" s="1236"/>
      <c r="E136" s="1236"/>
      <c r="F136" s="1237"/>
      <c r="G136" s="1252"/>
      <c r="H136" s="1252"/>
      <c r="I136" s="1252"/>
      <c r="J136" s="1415"/>
      <c r="K136" s="1252"/>
      <c r="L136" s="1421"/>
      <c r="M136" s="1372"/>
      <c r="N136" s="1393"/>
      <c r="O136" s="1373" t="s">
        <v>2025</v>
      </c>
      <c r="P136" s="1425" t="str">
        <f>IFERROR(VLOOKUP('別紙様式2-2（４・５月分）'!AQ104,【参考】数式用!$AR$5:$AT$22,3,FALSE),"")</f>
        <v/>
      </c>
      <c r="Q136" s="1377" t="s">
        <v>2036</v>
      </c>
      <c r="R136" s="1508" t="str">
        <f>IFERROR(VLOOKUP(K134,【参考】数式用!$A$5:$AB$37,MATCH(P136,【参考】数式用!$B$4:$AB$4,0)+1,0),"")</f>
        <v/>
      </c>
      <c r="S136" s="1381" t="s">
        <v>2109</v>
      </c>
      <c r="T136" s="1510"/>
      <c r="U136" s="1506" t="str">
        <f>IFERROR(VLOOKUP(K134,【参考】数式用!$A$5:$AB$37,MATCH(T136,【参考】数式用!$B$4:$AB$4,0)+1,0),"")</f>
        <v/>
      </c>
      <c r="V136" s="1387" t="s">
        <v>15</v>
      </c>
      <c r="W136" s="1504"/>
      <c r="X136" s="1363" t="s">
        <v>10</v>
      </c>
      <c r="Y136" s="1504"/>
      <c r="Z136" s="1363" t="s">
        <v>38</v>
      </c>
      <c r="AA136" s="1504"/>
      <c r="AB136" s="1363" t="s">
        <v>10</v>
      </c>
      <c r="AC136" s="1504"/>
      <c r="AD136" s="1363" t="s">
        <v>2020</v>
      </c>
      <c r="AE136" s="1363" t="s">
        <v>20</v>
      </c>
      <c r="AF136" s="1363" t="str">
        <f>IF(W136&gt;=1,(AA136*12+AC136)-(W136*12+Y136)+1,"")</f>
        <v/>
      </c>
      <c r="AG136" s="1359" t="s">
        <v>33</v>
      </c>
      <c r="AH136" s="1365" t="str">
        <f t="shared" ref="AH136" si="205">IFERROR(ROUNDDOWN(ROUND(L134*U136,0),0)*AF136,"")</f>
        <v/>
      </c>
      <c r="AI136" s="1498" t="str">
        <f t="shared" ref="AI136" si="206">IFERROR(ROUNDDOWN(ROUND((L134*(U136-AW134)),0),0)*AF136,"")</f>
        <v/>
      </c>
      <c r="AJ136" s="1369" t="str">
        <f>IFERROR(ROUNDDOWN(ROUNDDOWN(ROUND(L134*VLOOKUP(K134,【参考】数式用!$A$5:$AB$27,MATCH("新加算Ⅳ",【参考】数式用!$B$4:$AB$4,0)+1,0),0),0)*AF136*0.5,0),"")</f>
        <v/>
      </c>
      <c r="AK136" s="1500"/>
      <c r="AL136" s="1502" t="str">
        <f>IFERROR(IF('別紙様式2-2（４・５月分）'!P136="ベア加算","", IF(OR(T136="新加算Ⅰ",T136="新加算Ⅱ",T136="新加算Ⅲ",T136="新加算Ⅳ"),ROUNDDOWN(ROUND(L134*VLOOKUP(K134,【参考】数式用!$A$5:$I$27,MATCH("ベア加算",【参考】数式用!$B$4:$I$4,0)+1,0),0),0)*AF136,"")),"")</f>
        <v/>
      </c>
      <c r="AM136" s="1494"/>
      <c r="AN136" s="1475"/>
      <c r="AO136" s="1496"/>
      <c r="AP136" s="1475"/>
      <c r="AQ136" s="1477"/>
      <c r="AR136" s="1479"/>
      <c r="AS136" s="1483"/>
      <c r="AT136" s="451"/>
      <c r="AU136" s="1303" t="str">
        <f>IF(AND(AA134&lt;&gt;7,AC134&lt;&gt;3),"V列に色付け","")</f>
        <v/>
      </c>
      <c r="AV136" s="1304"/>
      <c r="AW136" s="1305"/>
      <c r="AX136" s="574"/>
      <c r="AY136" s="1222" t="str">
        <f>IF(AL136&lt;&gt;"",IF(AM136="○","入力済","未入力"),"")</f>
        <v/>
      </c>
      <c r="AZ136" s="1222"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2" t="str">
        <f>IF(OR(T136="新加算Ⅴ（７）",T136="新加算Ⅴ（９）",T136="新加算Ⅴ（10）",T136="新加算Ⅴ（12）",T136="新加算Ⅴ（13）",T136="新加算Ⅴ（14）"),IF(OR(AO136="○",AO136="令和６年度中に満たす"),"入力済","未入力"),"")</f>
        <v/>
      </c>
      <c r="BB136" s="1222" t="str">
        <f>IF(OR(T136="新加算Ⅰ",T136="新加算Ⅱ",T136="新加算Ⅲ",T136="新加算Ⅴ（１）",T136="新加算Ⅴ（３）",T136="新加算Ⅴ（８）"),IF(OR(AP136="○",AP136="令和６年度中に満たす"),"入力済","未入力"),"")</f>
        <v/>
      </c>
      <c r="BC136" s="1472"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03" t="str">
        <f>IF(OR(T136="新加算Ⅰ",T136="新加算Ⅴ（１）",T136="新加算Ⅴ（２）",T136="新加算Ⅴ（５）",T136="新加算Ⅴ（７）",T136="新加算Ⅴ（10）"),IF(AR136="","未入力","入力済"),"")</f>
        <v/>
      </c>
      <c r="BE136" s="1303" t="str">
        <f>G134</f>
        <v/>
      </c>
      <c r="BF136" s="1303"/>
      <c r="BG136" s="1303"/>
    </row>
    <row r="137" spans="1:59" ht="30" customHeight="1" thickBot="1">
      <c r="A137" s="1268"/>
      <c r="B137" s="1411"/>
      <c r="C137" s="1412"/>
      <c r="D137" s="1412"/>
      <c r="E137" s="1412"/>
      <c r="F137" s="1413"/>
      <c r="G137" s="1253"/>
      <c r="H137" s="1253"/>
      <c r="I137" s="1253"/>
      <c r="J137" s="1416"/>
      <c r="K137" s="1253"/>
      <c r="L137" s="1422"/>
      <c r="M137" s="553" t="str">
        <f>IF('別紙様式2-2（４・５月分）'!P106="","",'別紙様式2-2（４・５月分）'!P106)</f>
        <v/>
      </c>
      <c r="N137" s="1394"/>
      <c r="O137" s="1374"/>
      <c r="P137" s="1426"/>
      <c r="Q137" s="1378"/>
      <c r="R137" s="1509"/>
      <c r="S137" s="1382"/>
      <c r="T137" s="1511"/>
      <c r="U137" s="1507"/>
      <c r="V137" s="1388"/>
      <c r="W137" s="1505"/>
      <c r="X137" s="1364"/>
      <c r="Y137" s="1505"/>
      <c r="Z137" s="1364"/>
      <c r="AA137" s="1505"/>
      <c r="AB137" s="1364"/>
      <c r="AC137" s="1505"/>
      <c r="AD137" s="1364"/>
      <c r="AE137" s="1364"/>
      <c r="AF137" s="1364"/>
      <c r="AG137" s="1360"/>
      <c r="AH137" s="1366"/>
      <c r="AI137" s="1499"/>
      <c r="AJ137" s="1370"/>
      <c r="AK137" s="1501"/>
      <c r="AL137" s="1503"/>
      <c r="AM137" s="1495"/>
      <c r="AN137" s="1476"/>
      <c r="AO137" s="1497"/>
      <c r="AP137" s="1476"/>
      <c r="AQ137" s="1478"/>
      <c r="AR137" s="1480"/>
      <c r="AS137" s="575"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1"/>
      <c r="AU137" s="1303"/>
      <c r="AV137" s="555" t="str">
        <f>IF('別紙様式2-2（４・５月分）'!N106="","",'別紙様式2-2（４・５月分）'!N106)</f>
        <v/>
      </c>
      <c r="AW137" s="1305"/>
      <c r="AX137" s="576"/>
      <c r="AY137" s="1222" t="str">
        <f>IF(OR(T137="新加算Ⅰ",T137="新加算Ⅱ",T137="新加算Ⅲ",T137="新加算Ⅳ",T137="新加算Ⅴ（１）",T137="新加算Ⅴ（２）",T137="新加算Ⅴ（３）",T137="新加算ⅠⅤ（４）",T137="新加算Ⅴ（５）",T137="新加算Ⅴ（６）",T137="新加算Ⅴ（８）",T137="新加算Ⅴ（11）"),IF(AI137="○","","未入力"),"")</f>
        <v/>
      </c>
      <c r="AZ137" s="1222" t="str">
        <f>IF(OR(U137="新加算Ⅰ",U137="新加算Ⅱ",U137="新加算Ⅲ",U137="新加算Ⅳ",U137="新加算Ⅴ（１）",U137="新加算Ⅴ（２）",U137="新加算Ⅴ（３）",U137="新加算ⅠⅤ（４）",U137="新加算Ⅴ（５）",U137="新加算Ⅴ（６）",U137="新加算Ⅴ（８）",U137="新加算Ⅴ（11）"),IF(AJ137="○","","未入力"),"")</f>
        <v/>
      </c>
      <c r="BA137" s="1222" t="str">
        <f>IF(OR(U137="新加算Ⅴ（７）",U137="新加算Ⅴ（９）",U137="新加算Ⅴ（10）",U137="新加算Ⅴ（12）",U137="新加算Ⅴ（13）",U137="新加算Ⅴ（14）"),IF(AK137="○","","未入力"),"")</f>
        <v/>
      </c>
      <c r="BB137" s="1222" t="str">
        <f>IF(OR(U137="新加算Ⅰ",U137="新加算Ⅱ",U137="新加算Ⅲ",U137="新加算Ⅴ（１）",U137="新加算Ⅴ（３）",U137="新加算Ⅴ（８）"),IF(AL137="○","","未入力"),"")</f>
        <v/>
      </c>
      <c r="BC137" s="1472"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03" t="str">
        <f>IF(AND(T137&lt;&gt;"（参考）令和７年度の移行予定",OR(U137="新加算Ⅰ",U137="新加算Ⅴ（１）",U137="新加算Ⅴ（２）",U137="新加算Ⅴ（５）",U137="新加算Ⅴ（７）",U137="新加算Ⅴ（10）")),IF(AN137="","未入力",IF(AN137="いずれも取得していない","要件を満たさない","")),"")</f>
        <v/>
      </c>
      <c r="BE137" s="1303" t="str">
        <f>G134</f>
        <v/>
      </c>
      <c r="BF137" s="1303"/>
      <c r="BG137" s="1303"/>
    </row>
    <row r="138" spans="1:59" ht="30" customHeight="1">
      <c r="A138" s="1293">
        <v>32</v>
      </c>
      <c r="B138" s="1232" t="str">
        <f>IF(基本情報入力シート!C85="","",基本情報入力シート!C85)</f>
        <v/>
      </c>
      <c r="C138" s="1233"/>
      <c r="D138" s="1233"/>
      <c r="E138" s="1233"/>
      <c r="F138" s="1234"/>
      <c r="G138" s="1251" t="str">
        <f>IF(基本情報入力シート!M85="","",基本情報入力シート!M85)</f>
        <v/>
      </c>
      <c r="H138" s="1251" t="str">
        <f>IF(基本情報入力シート!R85="","",基本情報入力シート!R85)</f>
        <v/>
      </c>
      <c r="I138" s="1251" t="str">
        <f>IF(基本情報入力シート!W85="","",基本情報入力シート!W85)</f>
        <v/>
      </c>
      <c r="J138" s="1414" t="str">
        <f>IF(基本情報入力シート!X85="","",基本情報入力シート!X85)</f>
        <v/>
      </c>
      <c r="K138" s="1251" t="str">
        <f>IF(基本情報入力シート!Y85="","",基本情報入力シート!Y85)</f>
        <v/>
      </c>
      <c r="L138" s="1427" t="str">
        <f>IF(基本情報入力シート!AB85="","",基本情報入力シート!AB85)</f>
        <v/>
      </c>
      <c r="M138" s="550" t="str">
        <f>IF('別紙様式2-2（４・５月分）'!P107="","",'別紙様式2-2（４・５月分）'!P107)</f>
        <v/>
      </c>
      <c r="N138" s="1391" t="str">
        <f>IF(SUM('別紙様式2-2（４・５月分）'!Q107:Q109)=0,"",SUM('別紙様式2-2（４・５月分）'!Q107:Q109))</f>
        <v/>
      </c>
      <c r="O138" s="1395" t="str">
        <f>IFERROR(VLOOKUP('別紙様式2-2（４・５月分）'!AQ107,【参考】数式用!$AR$5:$AS$22,2,FALSE),"")</f>
        <v/>
      </c>
      <c r="P138" s="1396"/>
      <c r="Q138" s="1397"/>
      <c r="R138" s="1531" t="str">
        <f>IFERROR(VLOOKUP(K138,【参考】数式用!$A$5:$AB$37,MATCH(O138,【参考】数式用!$B$4:$AB$4,0)+1,0),"")</f>
        <v/>
      </c>
      <c r="S138" s="1403" t="s">
        <v>2102</v>
      </c>
      <c r="T138" s="1527" t="str">
        <f>IF('別紙様式2-3（６月以降分）'!T138="","",'別紙様式2-3（６月以降分）'!T138)</f>
        <v/>
      </c>
      <c r="U138" s="1529" t="str">
        <f>IFERROR(VLOOKUP(K138,【参考】数式用!$A$5:$AB$37,MATCH(T138,【参考】数式用!$B$4:$AB$4,0)+1,0),"")</f>
        <v/>
      </c>
      <c r="V138" s="1409" t="s">
        <v>15</v>
      </c>
      <c r="W138" s="1525">
        <f>'別紙様式2-3（６月以降分）'!W138</f>
        <v>6</v>
      </c>
      <c r="X138" s="1349" t="s">
        <v>10</v>
      </c>
      <c r="Y138" s="1525">
        <f>'別紙様式2-3（６月以降分）'!Y138</f>
        <v>6</v>
      </c>
      <c r="Z138" s="1349" t="s">
        <v>38</v>
      </c>
      <c r="AA138" s="1525">
        <f>'別紙様式2-3（６月以降分）'!AA138</f>
        <v>7</v>
      </c>
      <c r="AB138" s="1349" t="s">
        <v>10</v>
      </c>
      <c r="AC138" s="1525">
        <f>'別紙様式2-3（６月以降分）'!AC138</f>
        <v>3</v>
      </c>
      <c r="AD138" s="1349" t="s">
        <v>2020</v>
      </c>
      <c r="AE138" s="1349" t="s">
        <v>20</v>
      </c>
      <c r="AF138" s="1349">
        <f>IF(W138&gt;=1,(AA138*12+AC138)-(W138*12+Y138)+1,"")</f>
        <v>10</v>
      </c>
      <c r="AG138" s="1351" t="s">
        <v>33</v>
      </c>
      <c r="AH138" s="1517" t="str">
        <f>'別紙様式2-3（６月以降分）'!AH138</f>
        <v/>
      </c>
      <c r="AI138" s="1519" t="str">
        <f>'別紙様式2-3（６月以降分）'!AI138</f>
        <v/>
      </c>
      <c r="AJ138" s="1521">
        <f>'別紙様式2-3（６月以降分）'!AJ138</f>
        <v>0</v>
      </c>
      <c r="AK138" s="1523" t="str">
        <f>IF('別紙様式2-3（６月以降分）'!AK138="","",'別紙様式2-3（６月以降分）'!AK138)</f>
        <v/>
      </c>
      <c r="AL138" s="1512">
        <f>'別紙様式2-3（６月以降分）'!AL138</f>
        <v>0</v>
      </c>
      <c r="AM138" s="1514" t="str">
        <f>IF('別紙様式2-3（６月以降分）'!AM138="","",'別紙様式2-3（６月以降分）'!AM138)</f>
        <v/>
      </c>
      <c r="AN138" s="1333" t="str">
        <f>IF('別紙様式2-3（６月以降分）'!AN138="","",'別紙様式2-3（６月以降分）'!AN138)</f>
        <v/>
      </c>
      <c r="AO138" s="1331" t="str">
        <f>IF('別紙様式2-3（６月以降分）'!AO138="","",'別紙様式2-3（６月以降分）'!AO138)</f>
        <v/>
      </c>
      <c r="AP138" s="1333" t="str">
        <f>IF('別紙様式2-3（６月以降分）'!AP138="","",'別紙様式2-3（６月以降分）'!AP138)</f>
        <v/>
      </c>
      <c r="AQ138" s="1481" t="str">
        <f>IF('別紙様式2-3（６月以降分）'!AQ138="","",'別紙様式2-3（６月以降分）'!AQ138)</f>
        <v/>
      </c>
      <c r="AR138" s="1484" t="str">
        <f>IF('別紙様式2-3（６月以降分）'!AR138="","",'別紙様式2-3（６月以降分）'!AR138)</f>
        <v/>
      </c>
      <c r="AS138" s="570" t="str">
        <f t="shared" ref="AS138" si="210">IF(AU140="","",IF(U140&lt;U138,"！加算の要件上は問題ありませんが、令和６年度当初の新加算の加算率と比較して、移行後の加算率が下がる計画になっています。",""))</f>
        <v/>
      </c>
      <c r="AT138" s="577"/>
      <c r="AU138" s="1301"/>
      <c r="AV138" s="555" t="str">
        <f>IF('別紙様式2-2（４・５月分）'!N107="","",'別紙様式2-2（４・５月分）'!N107)</f>
        <v/>
      </c>
      <c r="AW138" s="1305" t="str">
        <f>IF(SUM('別紙様式2-2（４・５月分）'!O107:O109)=0,"",SUM('別紙様式2-2（４・５月分）'!O107:O109))</f>
        <v/>
      </c>
      <c r="AX138" s="1473" t="str">
        <f>IFERROR(VLOOKUP(K138,【参考】数式用!$AH$2:$AI$34,2,FALSE),"")</f>
        <v/>
      </c>
      <c r="AY138" s="493"/>
      <c r="BD138" s="340"/>
      <c r="BE138" s="1303" t="str">
        <f>G138</f>
        <v/>
      </c>
      <c r="BF138" s="1303"/>
      <c r="BG138" s="1303"/>
    </row>
    <row r="139" spans="1:59" ht="15" customHeight="1">
      <c r="A139" s="1267"/>
      <c r="B139" s="1235"/>
      <c r="C139" s="1236"/>
      <c r="D139" s="1236"/>
      <c r="E139" s="1236"/>
      <c r="F139" s="1237"/>
      <c r="G139" s="1252"/>
      <c r="H139" s="1252"/>
      <c r="I139" s="1252"/>
      <c r="J139" s="1415"/>
      <c r="K139" s="1252"/>
      <c r="L139" s="1421"/>
      <c r="M139" s="1371" t="str">
        <f>IF('別紙様式2-2（４・５月分）'!P108="","",'別紙様式2-2（４・５月分）'!P108)</f>
        <v/>
      </c>
      <c r="N139" s="1392"/>
      <c r="O139" s="1398"/>
      <c r="P139" s="1399"/>
      <c r="Q139" s="1400"/>
      <c r="R139" s="1532"/>
      <c r="S139" s="1404"/>
      <c r="T139" s="1528"/>
      <c r="U139" s="1530"/>
      <c r="V139" s="1410"/>
      <c r="W139" s="1526"/>
      <c r="X139" s="1350"/>
      <c r="Y139" s="1526"/>
      <c r="Z139" s="1350"/>
      <c r="AA139" s="1526"/>
      <c r="AB139" s="1350"/>
      <c r="AC139" s="1526"/>
      <c r="AD139" s="1350"/>
      <c r="AE139" s="1350"/>
      <c r="AF139" s="1350"/>
      <c r="AG139" s="1352"/>
      <c r="AH139" s="1518"/>
      <c r="AI139" s="1520"/>
      <c r="AJ139" s="1522"/>
      <c r="AK139" s="1524"/>
      <c r="AL139" s="1513"/>
      <c r="AM139" s="1515"/>
      <c r="AN139" s="1334"/>
      <c r="AO139" s="1516"/>
      <c r="AP139" s="1334"/>
      <c r="AQ139" s="1482"/>
      <c r="AR139" s="1485"/>
      <c r="AS139" s="1483" t="str">
        <f t="shared" ref="AS139" si="211">IF(AU140="","",IF(OR(AA140="",AA140&lt;&gt;7,AC140="",AC140&lt;&gt;3),"！算定期間の終わりが令和７年３月になっていません。年度内の廃止予定等がなければ、算定対象月を令和７年３月にしてください。",""))</f>
        <v/>
      </c>
      <c r="AT139" s="577"/>
      <c r="AU139" s="1303"/>
      <c r="AV139" s="1304" t="str">
        <f>IF('別紙様式2-2（４・５月分）'!N108="","",'別紙様式2-2（４・５月分）'!N108)</f>
        <v/>
      </c>
      <c r="AW139" s="1305"/>
      <c r="AX139" s="1474"/>
      <c r="AY139" s="430"/>
      <c r="BD139" s="340"/>
      <c r="BE139" s="1303" t="str">
        <f>G138</f>
        <v/>
      </c>
      <c r="BF139" s="1303"/>
      <c r="BG139" s="1303"/>
    </row>
    <row r="140" spans="1:59" ht="15" customHeight="1">
      <c r="A140" s="1295"/>
      <c r="B140" s="1235"/>
      <c r="C140" s="1236"/>
      <c r="D140" s="1236"/>
      <c r="E140" s="1236"/>
      <c r="F140" s="1237"/>
      <c r="G140" s="1252"/>
      <c r="H140" s="1252"/>
      <c r="I140" s="1252"/>
      <c r="J140" s="1415"/>
      <c r="K140" s="1252"/>
      <c r="L140" s="1421"/>
      <c r="M140" s="1372"/>
      <c r="N140" s="1393"/>
      <c r="O140" s="1373" t="s">
        <v>2025</v>
      </c>
      <c r="P140" s="1425" t="str">
        <f>IFERROR(VLOOKUP('別紙様式2-2（４・５月分）'!AQ107,【参考】数式用!$AR$5:$AT$22,3,FALSE),"")</f>
        <v/>
      </c>
      <c r="Q140" s="1377" t="s">
        <v>2036</v>
      </c>
      <c r="R140" s="1508" t="str">
        <f>IFERROR(VLOOKUP(K138,【参考】数式用!$A$5:$AB$37,MATCH(P140,【参考】数式用!$B$4:$AB$4,0)+1,0),"")</f>
        <v/>
      </c>
      <c r="S140" s="1381" t="s">
        <v>2109</v>
      </c>
      <c r="T140" s="1510"/>
      <c r="U140" s="1506" t="str">
        <f>IFERROR(VLOOKUP(K138,【参考】数式用!$A$5:$AB$37,MATCH(T140,【参考】数式用!$B$4:$AB$4,0)+1,0),"")</f>
        <v/>
      </c>
      <c r="V140" s="1387" t="s">
        <v>15</v>
      </c>
      <c r="W140" s="1504"/>
      <c r="X140" s="1363" t="s">
        <v>10</v>
      </c>
      <c r="Y140" s="1504"/>
      <c r="Z140" s="1363" t="s">
        <v>38</v>
      </c>
      <c r="AA140" s="1504"/>
      <c r="AB140" s="1363" t="s">
        <v>10</v>
      </c>
      <c r="AC140" s="1504"/>
      <c r="AD140" s="1363" t="s">
        <v>2020</v>
      </c>
      <c r="AE140" s="1363" t="s">
        <v>20</v>
      </c>
      <c r="AF140" s="1363" t="str">
        <f>IF(W140&gt;=1,(AA140*12+AC140)-(W140*12+Y140)+1,"")</f>
        <v/>
      </c>
      <c r="AG140" s="1359" t="s">
        <v>33</v>
      </c>
      <c r="AH140" s="1365" t="str">
        <f t="shared" ref="AH140" si="212">IFERROR(ROUNDDOWN(ROUND(L138*U140,0),0)*AF140,"")</f>
        <v/>
      </c>
      <c r="AI140" s="1498" t="str">
        <f t="shared" ref="AI140" si="213">IFERROR(ROUNDDOWN(ROUND((L138*(U140-AW138)),0),0)*AF140,"")</f>
        <v/>
      </c>
      <c r="AJ140" s="1369" t="str">
        <f>IFERROR(ROUNDDOWN(ROUNDDOWN(ROUND(L138*VLOOKUP(K138,【参考】数式用!$A$5:$AB$27,MATCH("新加算Ⅳ",【参考】数式用!$B$4:$AB$4,0)+1,0),0),0)*AF140*0.5,0),"")</f>
        <v/>
      </c>
      <c r="AK140" s="1500"/>
      <c r="AL140" s="1502" t="str">
        <f>IFERROR(IF('別紙様式2-2（４・５月分）'!P140="ベア加算","", IF(OR(T140="新加算Ⅰ",T140="新加算Ⅱ",T140="新加算Ⅲ",T140="新加算Ⅳ"),ROUNDDOWN(ROUND(L138*VLOOKUP(K138,【参考】数式用!$A$5:$I$27,MATCH("ベア加算",【参考】数式用!$B$4:$I$4,0)+1,0),0),0)*AF140,"")),"")</f>
        <v/>
      </c>
      <c r="AM140" s="1494"/>
      <c r="AN140" s="1475"/>
      <c r="AO140" s="1496"/>
      <c r="AP140" s="1475"/>
      <c r="AQ140" s="1477"/>
      <c r="AR140" s="1479"/>
      <c r="AS140" s="1483"/>
      <c r="AT140" s="451"/>
      <c r="AU140" s="1303" t="str">
        <f>IF(AND(AA138&lt;&gt;7,AC138&lt;&gt;3),"V列に色付け","")</f>
        <v/>
      </c>
      <c r="AV140" s="1304"/>
      <c r="AW140" s="1305"/>
      <c r="AX140" s="574"/>
      <c r="AY140" s="1222" t="str">
        <f>IF(AL140&lt;&gt;"",IF(AM140="○","入力済","未入力"),"")</f>
        <v/>
      </c>
      <c r="AZ140" s="1222"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2" t="str">
        <f>IF(OR(T140="新加算Ⅴ（７）",T140="新加算Ⅴ（９）",T140="新加算Ⅴ（10）",T140="新加算Ⅴ（12）",T140="新加算Ⅴ（13）",T140="新加算Ⅴ（14）"),IF(OR(AO140="○",AO140="令和６年度中に満たす"),"入力済","未入力"),"")</f>
        <v/>
      </c>
      <c r="BB140" s="1222" t="str">
        <f>IF(OR(T140="新加算Ⅰ",T140="新加算Ⅱ",T140="新加算Ⅲ",T140="新加算Ⅴ（１）",T140="新加算Ⅴ（３）",T140="新加算Ⅴ（８）"),IF(OR(AP140="○",AP140="令和６年度中に満たす"),"入力済","未入力"),"")</f>
        <v/>
      </c>
      <c r="BC140" s="1472"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03" t="str">
        <f>IF(OR(T140="新加算Ⅰ",T140="新加算Ⅴ（１）",T140="新加算Ⅴ（２）",T140="新加算Ⅴ（５）",T140="新加算Ⅴ（７）",T140="新加算Ⅴ（10）"),IF(AR140="","未入力","入力済"),"")</f>
        <v/>
      </c>
      <c r="BE140" s="1303" t="str">
        <f>G138</f>
        <v/>
      </c>
      <c r="BF140" s="1303"/>
      <c r="BG140" s="1303"/>
    </row>
    <row r="141" spans="1:59" ht="30" customHeight="1" thickBot="1">
      <c r="A141" s="1268"/>
      <c r="B141" s="1411"/>
      <c r="C141" s="1412"/>
      <c r="D141" s="1412"/>
      <c r="E141" s="1412"/>
      <c r="F141" s="1413"/>
      <c r="G141" s="1253"/>
      <c r="H141" s="1253"/>
      <c r="I141" s="1253"/>
      <c r="J141" s="1416"/>
      <c r="K141" s="1253"/>
      <c r="L141" s="1422"/>
      <c r="M141" s="553" t="str">
        <f>IF('別紙様式2-2（４・５月分）'!P109="","",'別紙様式2-2（４・５月分）'!P109)</f>
        <v/>
      </c>
      <c r="N141" s="1394"/>
      <c r="O141" s="1374"/>
      <c r="P141" s="1426"/>
      <c r="Q141" s="1378"/>
      <c r="R141" s="1509"/>
      <c r="S141" s="1382"/>
      <c r="T141" s="1511"/>
      <c r="U141" s="1507"/>
      <c r="V141" s="1388"/>
      <c r="W141" s="1505"/>
      <c r="X141" s="1364"/>
      <c r="Y141" s="1505"/>
      <c r="Z141" s="1364"/>
      <c r="AA141" s="1505"/>
      <c r="AB141" s="1364"/>
      <c r="AC141" s="1505"/>
      <c r="AD141" s="1364"/>
      <c r="AE141" s="1364"/>
      <c r="AF141" s="1364"/>
      <c r="AG141" s="1360"/>
      <c r="AH141" s="1366"/>
      <c r="AI141" s="1499"/>
      <c r="AJ141" s="1370"/>
      <c r="AK141" s="1501"/>
      <c r="AL141" s="1503"/>
      <c r="AM141" s="1495"/>
      <c r="AN141" s="1476"/>
      <c r="AO141" s="1497"/>
      <c r="AP141" s="1476"/>
      <c r="AQ141" s="1478"/>
      <c r="AR141" s="1480"/>
      <c r="AS141" s="575"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1"/>
      <c r="AU141" s="1303"/>
      <c r="AV141" s="555" t="str">
        <f>IF('別紙様式2-2（４・５月分）'!N109="","",'別紙様式2-2（４・５月分）'!N109)</f>
        <v/>
      </c>
      <c r="AW141" s="1305"/>
      <c r="AX141" s="576"/>
      <c r="AY141" s="1222" t="str">
        <f>IF(OR(T141="新加算Ⅰ",T141="新加算Ⅱ",T141="新加算Ⅲ",T141="新加算Ⅳ",T141="新加算Ⅴ（１）",T141="新加算Ⅴ（２）",T141="新加算Ⅴ（３）",T141="新加算ⅠⅤ（４）",T141="新加算Ⅴ（５）",T141="新加算Ⅴ（６）",T141="新加算Ⅴ（８）",T141="新加算Ⅴ（11）"),IF(AI141="○","","未入力"),"")</f>
        <v/>
      </c>
      <c r="AZ141" s="1222" t="str">
        <f>IF(OR(U141="新加算Ⅰ",U141="新加算Ⅱ",U141="新加算Ⅲ",U141="新加算Ⅳ",U141="新加算Ⅴ（１）",U141="新加算Ⅴ（２）",U141="新加算Ⅴ（３）",U141="新加算ⅠⅤ（４）",U141="新加算Ⅴ（５）",U141="新加算Ⅴ（６）",U141="新加算Ⅴ（８）",U141="新加算Ⅴ（11）"),IF(AJ141="○","","未入力"),"")</f>
        <v/>
      </c>
      <c r="BA141" s="1222" t="str">
        <f>IF(OR(U141="新加算Ⅴ（７）",U141="新加算Ⅴ（９）",U141="新加算Ⅴ（10）",U141="新加算Ⅴ（12）",U141="新加算Ⅴ（13）",U141="新加算Ⅴ（14）"),IF(AK141="○","","未入力"),"")</f>
        <v/>
      </c>
      <c r="BB141" s="1222" t="str">
        <f>IF(OR(U141="新加算Ⅰ",U141="新加算Ⅱ",U141="新加算Ⅲ",U141="新加算Ⅴ（１）",U141="新加算Ⅴ（３）",U141="新加算Ⅴ（８）"),IF(AL141="○","","未入力"),"")</f>
        <v/>
      </c>
      <c r="BC141" s="1472"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03" t="str">
        <f>IF(AND(T141&lt;&gt;"（参考）令和７年度の移行予定",OR(U141="新加算Ⅰ",U141="新加算Ⅴ（１）",U141="新加算Ⅴ（２）",U141="新加算Ⅴ（５）",U141="新加算Ⅴ（７）",U141="新加算Ⅴ（10）")),IF(AN141="","未入力",IF(AN141="いずれも取得していない","要件を満たさない","")),"")</f>
        <v/>
      </c>
      <c r="BE141" s="1303" t="str">
        <f>G138</f>
        <v/>
      </c>
      <c r="BF141" s="1303"/>
      <c r="BG141" s="1303"/>
    </row>
    <row r="142" spans="1:59" ht="30" customHeight="1">
      <c r="A142" s="1266">
        <v>33</v>
      </c>
      <c r="B142" s="1235" t="str">
        <f>IF(基本情報入力シート!C86="","",基本情報入力シート!C86)</f>
        <v/>
      </c>
      <c r="C142" s="1236"/>
      <c r="D142" s="1236"/>
      <c r="E142" s="1236"/>
      <c r="F142" s="1237"/>
      <c r="G142" s="1252" t="str">
        <f>IF(基本情報入力シート!M86="","",基本情報入力シート!M86)</f>
        <v/>
      </c>
      <c r="H142" s="1252" t="str">
        <f>IF(基本情報入力シート!R86="","",基本情報入力シート!R86)</f>
        <v/>
      </c>
      <c r="I142" s="1252" t="str">
        <f>IF(基本情報入力シート!W86="","",基本情報入力シート!W86)</f>
        <v/>
      </c>
      <c r="J142" s="1415" t="str">
        <f>IF(基本情報入力シート!X86="","",基本情報入力シート!X86)</f>
        <v/>
      </c>
      <c r="K142" s="1252" t="str">
        <f>IF(基本情報入力シート!Y86="","",基本情報入力シート!Y86)</f>
        <v/>
      </c>
      <c r="L142" s="1421" t="str">
        <f>IF(基本情報入力シート!AB86="","",基本情報入力シート!AB86)</f>
        <v/>
      </c>
      <c r="M142" s="550" t="str">
        <f>IF('別紙様式2-2（４・５月分）'!P110="","",'別紙様式2-2（４・５月分）'!P110)</f>
        <v/>
      </c>
      <c r="N142" s="1391" t="str">
        <f>IF(SUM('別紙様式2-2（４・５月分）'!Q110:Q112)=0,"",SUM('別紙様式2-2（４・５月分）'!Q110:Q112))</f>
        <v/>
      </c>
      <c r="O142" s="1395" t="str">
        <f>IFERROR(VLOOKUP('別紙様式2-2（４・５月分）'!AQ110,【参考】数式用!$AR$5:$AS$22,2,FALSE),"")</f>
        <v/>
      </c>
      <c r="P142" s="1396"/>
      <c r="Q142" s="1397"/>
      <c r="R142" s="1531" t="str">
        <f>IFERROR(VLOOKUP(K142,【参考】数式用!$A$5:$AB$37,MATCH(O142,【参考】数式用!$B$4:$AB$4,0)+1,0),"")</f>
        <v/>
      </c>
      <c r="S142" s="1403" t="s">
        <v>2102</v>
      </c>
      <c r="T142" s="1527" t="str">
        <f>IF('別紙様式2-3（６月以降分）'!T142="","",'別紙様式2-3（６月以降分）'!T142)</f>
        <v/>
      </c>
      <c r="U142" s="1529" t="str">
        <f>IFERROR(VLOOKUP(K142,【参考】数式用!$A$5:$AB$37,MATCH(T142,【参考】数式用!$B$4:$AB$4,0)+1,0),"")</f>
        <v/>
      </c>
      <c r="V142" s="1409" t="s">
        <v>15</v>
      </c>
      <c r="W142" s="1525">
        <f>'別紙様式2-3（６月以降分）'!W142</f>
        <v>6</v>
      </c>
      <c r="X142" s="1349" t="s">
        <v>10</v>
      </c>
      <c r="Y142" s="1525">
        <f>'別紙様式2-3（６月以降分）'!Y142</f>
        <v>6</v>
      </c>
      <c r="Z142" s="1349" t="s">
        <v>38</v>
      </c>
      <c r="AA142" s="1525">
        <f>'別紙様式2-3（６月以降分）'!AA142</f>
        <v>7</v>
      </c>
      <c r="AB142" s="1349" t="s">
        <v>10</v>
      </c>
      <c r="AC142" s="1525">
        <f>'別紙様式2-3（６月以降分）'!AC142</f>
        <v>3</v>
      </c>
      <c r="AD142" s="1349" t="s">
        <v>2020</v>
      </c>
      <c r="AE142" s="1349" t="s">
        <v>20</v>
      </c>
      <c r="AF142" s="1349">
        <f>IF(W142&gt;=1,(AA142*12+AC142)-(W142*12+Y142)+1,"")</f>
        <v>10</v>
      </c>
      <c r="AG142" s="1351" t="s">
        <v>33</v>
      </c>
      <c r="AH142" s="1517" t="str">
        <f>'別紙様式2-3（６月以降分）'!AH142</f>
        <v/>
      </c>
      <c r="AI142" s="1519" t="str">
        <f>'別紙様式2-3（６月以降分）'!AI142</f>
        <v/>
      </c>
      <c r="AJ142" s="1521">
        <f>'別紙様式2-3（６月以降分）'!AJ142</f>
        <v>0</v>
      </c>
      <c r="AK142" s="1523" t="str">
        <f>IF('別紙様式2-3（６月以降分）'!AK142="","",'別紙様式2-3（６月以降分）'!AK142)</f>
        <v/>
      </c>
      <c r="AL142" s="1512">
        <f>'別紙様式2-3（６月以降分）'!AL142</f>
        <v>0</v>
      </c>
      <c r="AM142" s="1514" t="str">
        <f>IF('別紙様式2-3（６月以降分）'!AM142="","",'別紙様式2-3（６月以降分）'!AM142)</f>
        <v/>
      </c>
      <c r="AN142" s="1333" t="str">
        <f>IF('別紙様式2-3（６月以降分）'!AN142="","",'別紙様式2-3（６月以降分）'!AN142)</f>
        <v/>
      </c>
      <c r="AO142" s="1331" t="str">
        <f>IF('別紙様式2-3（６月以降分）'!AO142="","",'別紙様式2-3（６月以降分）'!AO142)</f>
        <v/>
      </c>
      <c r="AP142" s="1333" t="str">
        <f>IF('別紙様式2-3（６月以降分）'!AP142="","",'別紙様式2-3（６月以降分）'!AP142)</f>
        <v/>
      </c>
      <c r="AQ142" s="1481" t="str">
        <f>IF('別紙様式2-3（６月以降分）'!AQ142="","",'別紙様式2-3（６月以降分）'!AQ142)</f>
        <v/>
      </c>
      <c r="AR142" s="1484" t="str">
        <f>IF('別紙様式2-3（６月以降分）'!AR142="","",'別紙様式2-3（６月以降分）'!AR142)</f>
        <v/>
      </c>
      <c r="AS142" s="570" t="str">
        <f t="shared" ref="AS142" si="217">IF(AU144="","",IF(U144&lt;U142,"！加算の要件上は問題ありませんが、令和６年度当初の新加算の加算率と比較して、移行後の加算率が下がる計画になっています。",""))</f>
        <v/>
      </c>
      <c r="AT142" s="577"/>
      <c r="AU142" s="1301"/>
      <c r="AV142" s="555" t="str">
        <f>IF('別紙様式2-2（４・５月分）'!N110="","",'別紙様式2-2（４・５月分）'!N110)</f>
        <v/>
      </c>
      <c r="AW142" s="1305" t="str">
        <f>IF(SUM('別紙様式2-2（４・５月分）'!O110:O112)=0,"",SUM('別紙様式2-2（４・５月分）'!O110:O112))</f>
        <v/>
      </c>
      <c r="AX142" s="1473" t="str">
        <f>IFERROR(VLOOKUP(K142,【参考】数式用!$AH$2:$AI$34,2,FALSE),"")</f>
        <v/>
      </c>
      <c r="AY142" s="493"/>
      <c r="BD142" s="340"/>
      <c r="BE142" s="1303" t="str">
        <f>G142</f>
        <v/>
      </c>
      <c r="BF142" s="1303"/>
      <c r="BG142" s="1303"/>
    </row>
    <row r="143" spans="1:59" ht="15" customHeight="1">
      <c r="A143" s="1267"/>
      <c r="B143" s="1235"/>
      <c r="C143" s="1236"/>
      <c r="D143" s="1236"/>
      <c r="E143" s="1236"/>
      <c r="F143" s="1237"/>
      <c r="G143" s="1252"/>
      <c r="H143" s="1252"/>
      <c r="I143" s="1252"/>
      <c r="J143" s="1415"/>
      <c r="K143" s="1252"/>
      <c r="L143" s="1421"/>
      <c r="M143" s="1371" t="str">
        <f>IF('別紙様式2-2（４・５月分）'!P111="","",'別紙様式2-2（４・５月分）'!P111)</f>
        <v/>
      </c>
      <c r="N143" s="1392"/>
      <c r="O143" s="1398"/>
      <c r="P143" s="1399"/>
      <c r="Q143" s="1400"/>
      <c r="R143" s="1532"/>
      <c r="S143" s="1404"/>
      <c r="T143" s="1528"/>
      <c r="U143" s="1530"/>
      <c r="V143" s="1410"/>
      <c r="W143" s="1526"/>
      <c r="X143" s="1350"/>
      <c r="Y143" s="1526"/>
      <c r="Z143" s="1350"/>
      <c r="AA143" s="1526"/>
      <c r="AB143" s="1350"/>
      <c r="AC143" s="1526"/>
      <c r="AD143" s="1350"/>
      <c r="AE143" s="1350"/>
      <c r="AF143" s="1350"/>
      <c r="AG143" s="1352"/>
      <c r="AH143" s="1518"/>
      <c r="AI143" s="1520"/>
      <c r="AJ143" s="1522"/>
      <c r="AK143" s="1524"/>
      <c r="AL143" s="1513"/>
      <c r="AM143" s="1515"/>
      <c r="AN143" s="1334"/>
      <c r="AO143" s="1516"/>
      <c r="AP143" s="1334"/>
      <c r="AQ143" s="1482"/>
      <c r="AR143" s="1485"/>
      <c r="AS143" s="1483" t="str">
        <f t="shared" ref="AS143" si="218">IF(AU144="","",IF(OR(AA144="",AA144&lt;&gt;7,AC144="",AC144&lt;&gt;3),"！算定期間の終わりが令和７年３月になっていません。年度内の廃止予定等がなければ、算定対象月を令和７年３月にしてください。",""))</f>
        <v/>
      </c>
      <c r="AT143" s="577"/>
      <c r="AU143" s="1303"/>
      <c r="AV143" s="1304" t="str">
        <f>IF('別紙様式2-2（４・５月分）'!N111="","",'別紙様式2-2（４・５月分）'!N111)</f>
        <v/>
      </c>
      <c r="AW143" s="1305"/>
      <c r="AX143" s="1474"/>
      <c r="AY143" s="430"/>
      <c r="BD143" s="340"/>
      <c r="BE143" s="1303" t="str">
        <f>G142</f>
        <v/>
      </c>
      <c r="BF143" s="1303"/>
      <c r="BG143" s="1303"/>
    </row>
    <row r="144" spans="1:59" ht="15" customHeight="1">
      <c r="A144" s="1295"/>
      <c r="B144" s="1235"/>
      <c r="C144" s="1236"/>
      <c r="D144" s="1236"/>
      <c r="E144" s="1236"/>
      <c r="F144" s="1237"/>
      <c r="G144" s="1252"/>
      <c r="H144" s="1252"/>
      <c r="I144" s="1252"/>
      <c r="J144" s="1415"/>
      <c r="K144" s="1252"/>
      <c r="L144" s="1421"/>
      <c r="M144" s="1372"/>
      <c r="N144" s="1393"/>
      <c r="O144" s="1373" t="s">
        <v>2025</v>
      </c>
      <c r="P144" s="1425" t="str">
        <f>IFERROR(VLOOKUP('別紙様式2-2（４・５月分）'!AQ110,【参考】数式用!$AR$5:$AT$22,3,FALSE),"")</f>
        <v/>
      </c>
      <c r="Q144" s="1377" t="s">
        <v>2036</v>
      </c>
      <c r="R144" s="1508" t="str">
        <f>IFERROR(VLOOKUP(K142,【参考】数式用!$A$5:$AB$37,MATCH(P144,【参考】数式用!$B$4:$AB$4,0)+1,0),"")</f>
        <v/>
      </c>
      <c r="S144" s="1381" t="s">
        <v>2109</v>
      </c>
      <c r="T144" s="1510"/>
      <c r="U144" s="1506" t="str">
        <f>IFERROR(VLOOKUP(K142,【参考】数式用!$A$5:$AB$37,MATCH(T144,【参考】数式用!$B$4:$AB$4,0)+1,0),"")</f>
        <v/>
      </c>
      <c r="V144" s="1387" t="s">
        <v>15</v>
      </c>
      <c r="W144" s="1504"/>
      <c r="X144" s="1363" t="s">
        <v>10</v>
      </c>
      <c r="Y144" s="1504"/>
      <c r="Z144" s="1363" t="s">
        <v>38</v>
      </c>
      <c r="AA144" s="1504"/>
      <c r="AB144" s="1363" t="s">
        <v>10</v>
      </c>
      <c r="AC144" s="1504"/>
      <c r="AD144" s="1363" t="s">
        <v>2020</v>
      </c>
      <c r="AE144" s="1363" t="s">
        <v>20</v>
      </c>
      <c r="AF144" s="1363" t="str">
        <f>IF(W144&gt;=1,(AA144*12+AC144)-(W144*12+Y144)+1,"")</f>
        <v/>
      </c>
      <c r="AG144" s="1359" t="s">
        <v>33</v>
      </c>
      <c r="AH144" s="1365" t="str">
        <f t="shared" ref="AH144" si="219">IFERROR(ROUNDDOWN(ROUND(L142*U144,0),0)*AF144,"")</f>
        <v/>
      </c>
      <c r="AI144" s="1498" t="str">
        <f t="shared" ref="AI144" si="220">IFERROR(ROUNDDOWN(ROUND((L142*(U144-AW142)),0),0)*AF144,"")</f>
        <v/>
      </c>
      <c r="AJ144" s="1369" t="str">
        <f>IFERROR(ROUNDDOWN(ROUNDDOWN(ROUND(L142*VLOOKUP(K142,【参考】数式用!$A$5:$AB$27,MATCH("新加算Ⅳ",【参考】数式用!$B$4:$AB$4,0)+1,0),0),0)*AF144*0.5,0),"")</f>
        <v/>
      </c>
      <c r="AK144" s="1500"/>
      <c r="AL144" s="1502" t="str">
        <f>IFERROR(IF('別紙様式2-2（４・５月分）'!P144="ベア加算","", IF(OR(T144="新加算Ⅰ",T144="新加算Ⅱ",T144="新加算Ⅲ",T144="新加算Ⅳ"),ROUNDDOWN(ROUND(L142*VLOOKUP(K142,【参考】数式用!$A$5:$I$27,MATCH("ベア加算",【参考】数式用!$B$4:$I$4,0)+1,0),0),0)*AF144,"")),"")</f>
        <v/>
      </c>
      <c r="AM144" s="1494"/>
      <c r="AN144" s="1475"/>
      <c r="AO144" s="1496"/>
      <c r="AP144" s="1475"/>
      <c r="AQ144" s="1477"/>
      <c r="AR144" s="1479"/>
      <c r="AS144" s="1483"/>
      <c r="AT144" s="451"/>
      <c r="AU144" s="1303" t="str">
        <f>IF(AND(AA142&lt;&gt;7,AC142&lt;&gt;3),"V列に色付け","")</f>
        <v/>
      </c>
      <c r="AV144" s="1304"/>
      <c r="AW144" s="1305"/>
      <c r="AX144" s="574"/>
      <c r="AY144" s="1222" t="str">
        <f>IF(AL144&lt;&gt;"",IF(AM144="○","入力済","未入力"),"")</f>
        <v/>
      </c>
      <c r="AZ144" s="1222"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2" t="str">
        <f>IF(OR(T144="新加算Ⅴ（７）",T144="新加算Ⅴ（９）",T144="新加算Ⅴ（10）",T144="新加算Ⅴ（12）",T144="新加算Ⅴ（13）",T144="新加算Ⅴ（14）"),IF(OR(AO144="○",AO144="令和６年度中に満たす"),"入力済","未入力"),"")</f>
        <v/>
      </c>
      <c r="BB144" s="1222" t="str">
        <f>IF(OR(T144="新加算Ⅰ",T144="新加算Ⅱ",T144="新加算Ⅲ",T144="新加算Ⅴ（１）",T144="新加算Ⅴ（３）",T144="新加算Ⅴ（８）"),IF(OR(AP144="○",AP144="令和６年度中に満たす"),"入力済","未入力"),"")</f>
        <v/>
      </c>
      <c r="BC144" s="1472"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03" t="str">
        <f>IF(OR(T144="新加算Ⅰ",T144="新加算Ⅴ（１）",T144="新加算Ⅴ（２）",T144="新加算Ⅴ（５）",T144="新加算Ⅴ（７）",T144="新加算Ⅴ（10）"),IF(AR144="","未入力","入力済"),"")</f>
        <v/>
      </c>
      <c r="BE144" s="1303" t="str">
        <f>G142</f>
        <v/>
      </c>
      <c r="BF144" s="1303"/>
      <c r="BG144" s="1303"/>
    </row>
    <row r="145" spans="1:59" ht="30" customHeight="1" thickBot="1">
      <c r="A145" s="1268"/>
      <c r="B145" s="1411"/>
      <c r="C145" s="1412"/>
      <c r="D145" s="1412"/>
      <c r="E145" s="1412"/>
      <c r="F145" s="1413"/>
      <c r="G145" s="1253"/>
      <c r="H145" s="1253"/>
      <c r="I145" s="1253"/>
      <c r="J145" s="1416"/>
      <c r="K145" s="1253"/>
      <c r="L145" s="1422"/>
      <c r="M145" s="553" t="str">
        <f>IF('別紙様式2-2（４・５月分）'!P112="","",'別紙様式2-2（４・５月分）'!P112)</f>
        <v/>
      </c>
      <c r="N145" s="1394"/>
      <c r="O145" s="1374"/>
      <c r="P145" s="1426"/>
      <c r="Q145" s="1378"/>
      <c r="R145" s="1509"/>
      <c r="S145" s="1382"/>
      <c r="T145" s="1511"/>
      <c r="U145" s="1507"/>
      <c r="V145" s="1388"/>
      <c r="W145" s="1505"/>
      <c r="X145" s="1364"/>
      <c r="Y145" s="1505"/>
      <c r="Z145" s="1364"/>
      <c r="AA145" s="1505"/>
      <c r="AB145" s="1364"/>
      <c r="AC145" s="1505"/>
      <c r="AD145" s="1364"/>
      <c r="AE145" s="1364"/>
      <c r="AF145" s="1364"/>
      <c r="AG145" s="1360"/>
      <c r="AH145" s="1366"/>
      <c r="AI145" s="1499"/>
      <c r="AJ145" s="1370"/>
      <c r="AK145" s="1501"/>
      <c r="AL145" s="1503"/>
      <c r="AM145" s="1495"/>
      <c r="AN145" s="1476"/>
      <c r="AO145" s="1497"/>
      <c r="AP145" s="1476"/>
      <c r="AQ145" s="1478"/>
      <c r="AR145" s="1480"/>
      <c r="AS145" s="575"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1"/>
      <c r="AU145" s="1303"/>
      <c r="AV145" s="555" t="str">
        <f>IF('別紙様式2-2（４・５月分）'!N112="","",'別紙様式2-2（４・５月分）'!N112)</f>
        <v/>
      </c>
      <c r="AW145" s="1305"/>
      <c r="AX145" s="576"/>
      <c r="AY145" s="1222" t="str">
        <f>IF(OR(T145="新加算Ⅰ",T145="新加算Ⅱ",T145="新加算Ⅲ",T145="新加算Ⅳ",T145="新加算Ⅴ（１）",T145="新加算Ⅴ（２）",T145="新加算Ⅴ（３）",T145="新加算ⅠⅤ（４）",T145="新加算Ⅴ（５）",T145="新加算Ⅴ（６）",T145="新加算Ⅴ（８）",T145="新加算Ⅴ（11）"),IF(AI145="○","","未入力"),"")</f>
        <v/>
      </c>
      <c r="AZ145" s="1222" t="str">
        <f>IF(OR(U145="新加算Ⅰ",U145="新加算Ⅱ",U145="新加算Ⅲ",U145="新加算Ⅳ",U145="新加算Ⅴ（１）",U145="新加算Ⅴ（２）",U145="新加算Ⅴ（３）",U145="新加算ⅠⅤ（４）",U145="新加算Ⅴ（５）",U145="新加算Ⅴ（６）",U145="新加算Ⅴ（８）",U145="新加算Ⅴ（11）"),IF(AJ145="○","","未入力"),"")</f>
        <v/>
      </c>
      <c r="BA145" s="1222" t="str">
        <f>IF(OR(U145="新加算Ⅴ（７）",U145="新加算Ⅴ（９）",U145="新加算Ⅴ（10）",U145="新加算Ⅴ（12）",U145="新加算Ⅴ（13）",U145="新加算Ⅴ（14）"),IF(AK145="○","","未入力"),"")</f>
        <v/>
      </c>
      <c r="BB145" s="1222" t="str">
        <f>IF(OR(U145="新加算Ⅰ",U145="新加算Ⅱ",U145="新加算Ⅲ",U145="新加算Ⅴ（１）",U145="新加算Ⅴ（３）",U145="新加算Ⅴ（８）"),IF(AL145="○","","未入力"),"")</f>
        <v/>
      </c>
      <c r="BC145" s="1472"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03" t="str">
        <f>IF(AND(T145&lt;&gt;"（参考）令和７年度の移行予定",OR(U145="新加算Ⅰ",U145="新加算Ⅴ（１）",U145="新加算Ⅴ（２）",U145="新加算Ⅴ（５）",U145="新加算Ⅴ（７）",U145="新加算Ⅴ（10）")),IF(AN145="","未入力",IF(AN145="いずれも取得していない","要件を満たさない","")),"")</f>
        <v/>
      </c>
      <c r="BE145" s="1303" t="str">
        <f>G142</f>
        <v/>
      </c>
      <c r="BF145" s="1303"/>
      <c r="BG145" s="1303"/>
    </row>
    <row r="146" spans="1:59" ht="30" customHeight="1">
      <c r="A146" s="1293">
        <v>34</v>
      </c>
      <c r="B146" s="1232" t="str">
        <f>IF(基本情報入力シート!C87="","",基本情報入力シート!C87)</f>
        <v/>
      </c>
      <c r="C146" s="1233"/>
      <c r="D146" s="1233"/>
      <c r="E146" s="1233"/>
      <c r="F146" s="1234"/>
      <c r="G146" s="1251" t="str">
        <f>IF(基本情報入力シート!M87="","",基本情報入力シート!M87)</f>
        <v/>
      </c>
      <c r="H146" s="1251" t="str">
        <f>IF(基本情報入力シート!R87="","",基本情報入力シート!R87)</f>
        <v/>
      </c>
      <c r="I146" s="1251" t="str">
        <f>IF(基本情報入力シート!W87="","",基本情報入力シート!W87)</f>
        <v/>
      </c>
      <c r="J146" s="1414" t="str">
        <f>IF(基本情報入力シート!X87="","",基本情報入力シート!X87)</f>
        <v/>
      </c>
      <c r="K146" s="1251" t="str">
        <f>IF(基本情報入力シート!Y87="","",基本情報入力シート!Y87)</f>
        <v/>
      </c>
      <c r="L146" s="1427" t="str">
        <f>IF(基本情報入力シート!AB87="","",基本情報入力シート!AB87)</f>
        <v/>
      </c>
      <c r="M146" s="550" t="str">
        <f>IF('別紙様式2-2（４・５月分）'!P113="","",'別紙様式2-2（４・５月分）'!P113)</f>
        <v/>
      </c>
      <c r="N146" s="1391" t="str">
        <f>IF(SUM('別紙様式2-2（４・５月分）'!Q113:Q115)=0,"",SUM('別紙様式2-2（４・５月分）'!Q113:Q115))</f>
        <v/>
      </c>
      <c r="O146" s="1395" t="str">
        <f>IFERROR(VLOOKUP('別紙様式2-2（４・５月分）'!AQ113,【参考】数式用!$AR$5:$AS$22,2,FALSE),"")</f>
        <v/>
      </c>
      <c r="P146" s="1396"/>
      <c r="Q146" s="1397"/>
      <c r="R146" s="1531" t="str">
        <f>IFERROR(VLOOKUP(K146,【参考】数式用!$A$5:$AB$37,MATCH(O146,【参考】数式用!$B$4:$AB$4,0)+1,0),"")</f>
        <v/>
      </c>
      <c r="S146" s="1403" t="s">
        <v>2102</v>
      </c>
      <c r="T146" s="1527" t="str">
        <f>IF('別紙様式2-3（６月以降分）'!T146="","",'別紙様式2-3（６月以降分）'!T146)</f>
        <v/>
      </c>
      <c r="U146" s="1529" t="str">
        <f>IFERROR(VLOOKUP(K146,【参考】数式用!$A$5:$AB$37,MATCH(T146,【参考】数式用!$B$4:$AB$4,0)+1,0),"")</f>
        <v/>
      </c>
      <c r="V146" s="1409" t="s">
        <v>15</v>
      </c>
      <c r="W146" s="1525">
        <f>'別紙様式2-3（６月以降分）'!W146</f>
        <v>6</v>
      </c>
      <c r="X146" s="1349" t="s">
        <v>10</v>
      </c>
      <c r="Y146" s="1525">
        <f>'別紙様式2-3（６月以降分）'!Y146</f>
        <v>6</v>
      </c>
      <c r="Z146" s="1349" t="s">
        <v>38</v>
      </c>
      <c r="AA146" s="1525">
        <f>'別紙様式2-3（６月以降分）'!AA146</f>
        <v>7</v>
      </c>
      <c r="AB146" s="1349" t="s">
        <v>10</v>
      </c>
      <c r="AC146" s="1525">
        <f>'別紙様式2-3（６月以降分）'!AC146</f>
        <v>3</v>
      </c>
      <c r="AD146" s="1349" t="s">
        <v>2020</v>
      </c>
      <c r="AE146" s="1349" t="s">
        <v>20</v>
      </c>
      <c r="AF146" s="1349">
        <f>IF(W146&gt;=1,(AA146*12+AC146)-(W146*12+Y146)+1,"")</f>
        <v>10</v>
      </c>
      <c r="AG146" s="1351" t="s">
        <v>33</v>
      </c>
      <c r="AH146" s="1517" t="str">
        <f>'別紙様式2-3（６月以降分）'!AH146</f>
        <v/>
      </c>
      <c r="AI146" s="1519" t="str">
        <f>'別紙様式2-3（６月以降分）'!AI146</f>
        <v/>
      </c>
      <c r="AJ146" s="1521">
        <f>'別紙様式2-3（６月以降分）'!AJ146</f>
        <v>0</v>
      </c>
      <c r="AK146" s="1523" t="str">
        <f>IF('別紙様式2-3（６月以降分）'!AK146="","",'別紙様式2-3（６月以降分）'!AK146)</f>
        <v/>
      </c>
      <c r="AL146" s="1512">
        <f>'別紙様式2-3（６月以降分）'!AL146</f>
        <v>0</v>
      </c>
      <c r="AM146" s="1514" t="str">
        <f>IF('別紙様式2-3（６月以降分）'!AM146="","",'別紙様式2-3（６月以降分）'!AM146)</f>
        <v/>
      </c>
      <c r="AN146" s="1333" t="str">
        <f>IF('別紙様式2-3（６月以降分）'!AN146="","",'別紙様式2-3（６月以降分）'!AN146)</f>
        <v/>
      </c>
      <c r="AO146" s="1331" t="str">
        <f>IF('別紙様式2-3（６月以降分）'!AO146="","",'別紙様式2-3（６月以降分）'!AO146)</f>
        <v/>
      </c>
      <c r="AP146" s="1333" t="str">
        <f>IF('別紙様式2-3（６月以降分）'!AP146="","",'別紙様式2-3（６月以降分）'!AP146)</f>
        <v/>
      </c>
      <c r="AQ146" s="1481" t="str">
        <f>IF('別紙様式2-3（６月以降分）'!AQ146="","",'別紙様式2-3（６月以降分）'!AQ146)</f>
        <v/>
      </c>
      <c r="AR146" s="1484" t="str">
        <f>IF('別紙様式2-3（６月以降分）'!AR146="","",'別紙様式2-3（６月以降分）'!AR146)</f>
        <v/>
      </c>
      <c r="AS146" s="570" t="str">
        <f t="shared" ref="AS146" si="224">IF(AU148="","",IF(U148&lt;U146,"！加算の要件上は問題ありませんが、令和６年度当初の新加算の加算率と比較して、移行後の加算率が下がる計画になっています。",""))</f>
        <v/>
      </c>
      <c r="AT146" s="577"/>
      <c r="AU146" s="1301"/>
      <c r="AV146" s="555" t="str">
        <f>IF('別紙様式2-2（４・５月分）'!N113="","",'別紙様式2-2（４・５月分）'!N113)</f>
        <v/>
      </c>
      <c r="AW146" s="1305" t="str">
        <f>IF(SUM('別紙様式2-2（４・５月分）'!O113:O115)=0,"",SUM('別紙様式2-2（４・５月分）'!O113:O115))</f>
        <v/>
      </c>
      <c r="AX146" s="1473" t="str">
        <f>IFERROR(VLOOKUP(K146,【参考】数式用!$AH$2:$AI$34,2,FALSE),"")</f>
        <v/>
      </c>
      <c r="AY146" s="493"/>
      <c r="BD146" s="340"/>
      <c r="BE146" s="1303" t="str">
        <f>G146</f>
        <v/>
      </c>
      <c r="BF146" s="1303"/>
      <c r="BG146" s="1303"/>
    </row>
    <row r="147" spans="1:59" ht="15" customHeight="1">
      <c r="A147" s="1267"/>
      <c r="B147" s="1235"/>
      <c r="C147" s="1236"/>
      <c r="D147" s="1236"/>
      <c r="E147" s="1236"/>
      <c r="F147" s="1237"/>
      <c r="G147" s="1252"/>
      <c r="H147" s="1252"/>
      <c r="I147" s="1252"/>
      <c r="J147" s="1415"/>
      <c r="K147" s="1252"/>
      <c r="L147" s="1421"/>
      <c r="M147" s="1371" t="str">
        <f>IF('別紙様式2-2（４・５月分）'!P114="","",'別紙様式2-2（４・５月分）'!P114)</f>
        <v/>
      </c>
      <c r="N147" s="1392"/>
      <c r="O147" s="1398"/>
      <c r="P147" s="1399"/>
      <c r="Q147" s="1400"/>
      <c r="R147" s="1532"/>
      <c r="S147" s="1404"/>
      <c r="T147" s="1528"/>
      <c r="U147" s="1530"/>
      <c r="V147" s="1410"/>
      <c r="W147" s="1526"/>
      <c r="X147" s="1350"/>
      <c r="Y147" s="1526"/>
      <c r="Z147" s="1350"/>
      <c r="AA147" s="1526"/>
      <c r="AB147" s="1350"/>
      <c r="AC147" s="1526"/>
      <c r="AD147" s="1350"/>
      <c r="AE147" s="1350"/>
      <c r="AF147" s="1350"/>
      <c r="AG147" s="1352"/>
      <c r="AH147" s="1518"/>
      <c r="AI147" s="1520"/>
      <c r="AJ147" s="1522"/>
      <c r="AK147" s="1524"/>
      <c r="AL147" s="1513"/>
      <c r="AM147" s="1515"/>
      <c r="AN147" s="1334"/>
      <c r="AO147" s="1516"/>
      <c r="AP147" s="1334"/>
      <c r="AQ147" s="1482"/>
      <c r="AR147" s="1485"/>
      <c r="AS147" s="1483" t="str">
        <f t="shared" ref="AS147" si="225">IF(AU148="","",IF(OR(AA148="",AA148&lt;&gt;7,AC148="",AC148&lt;&gt;3),"！算定期間の終わりが令和７年３月になっていません。年度内の廃止予定等がなければ、算定対象月を令和７年３月にしてください。",""))</f>
        <v/>
      </c>
      <c r="AT147" s="577"/>
      <c r="AU147" s="1303"/>
      <c r="AV147" s="1304" t="str">
        <f>IF('別紙様式2-2（４・５月分）'!N114="","",'別紙様式2-2（４・５月分）'!N114)</f>
        <v/>
      </c>
      <c r="AW147" s="1305"/>
      <c r="AX147" s="1474"/>
      <c r="AY147" s="430"/>
      <c r="BD147" s="340"/>
      <c r="BE147" s="1303" t="str">
        <f>G146</f>
        <v/>
      </c>
      <c r="BF147" s="1303"/>
      <c r="BG147" s="1303"/>
    </row>
    <row r="148" spans="1:59" ht="15" customHeight="1">
      <c r="A148" s="1295"/>
      <c r="B148" s="1235"/>
      <c r="C148" s="1236"/>
      <c r="D148" s="1236"/>
      <c r="E148" s="1236"/>
      <c r="F148" s="1237"/>
      <c r="G148" s="1252"/>
      <c r="H148" s="1252"/>
      <c r="I148" s="1252"/>
      <c r="J148" s="1415"/>
      <c r="K148" s="1252"/>
      <c r="L148" s="1421"/>
      <c r="M148" s="1372"/>
      <c r="N148" s="1393"/>
      <c r="O148" s="1373" t="s">
        <v>2025</v>
      </c>
      <c r="P148" s="1425" t="str">
        <f>IFERROR(VLOOKUP('別紙様式2-2（４・５月分）'!AQ113,【参考】数式用!$AR$5:$AT$22,3,FALSE),"")</f>
        <v/>
      </c>
      <c r="Q148" s="1377" t="s">
        <v>2036</v>
      </c>
      <c r="R148" s="1508" t="str">
        <f>IFERROR(VLOOKUP(K146,【参考】数式用!$A$5:$AB$37,MATCH(P148,【参考】数式用!$B$4:$AB$4,0)+1,0),"")</f>
        <v/>
      </c>
      <c r="S148" s="1381" t="s">
        <v>2109</v>
      </c>
      <c r="T148" s="1510"/>
      <c r="U148" s="1506" t="str">
        <f>IFERROR(VLOOKUP(K146,【参考】数式用!$A$5:$AB$37,MATCH(T148,【参考】数式用!$B$4:$AB$4,0)+1,0),"")</f>
        <v/>
      </c>
      <c r="V148" s="1387" t="s">
        <v>15</v>
      </c>
      <c r="W148" s="1504"/>
      <c r="X148" s="1363" t="s">
        <v>10</v>
      </c>
      <c r="Y148" s="1504"/>
      <c r="Z148" s="1363" t="s">
        <v>38</v>
      </c>
      <c r="AA148" s="1504"/>
      <c r="AB148" s="1363" t="s">
        <v>10</v>
      </c>
      <c r="AC148" s="1504"/>
      <c r="AD148" s="1363" t="s">
        <v>2020</v>
      </c>
      <c r="AE148" s="1363" t="s">
        <v>20</v>
      </c>
      <c r="AF148" s="1363" t="str">
        <f>IF(W148&gt;=1,(AA148*12+AC148)-(W148*12+Y148)+1,"")</f>
        <v/>
      </c>
      <c r="AG148" s="1359" t="s">
        <v>33</v>
      </c>
      <c r="AH148" s="1365" t="str">
        <f t="shared" ref="AH148" si="226">IFERROR(ROUNDDOWN(ROUND(L146*U148,0),0)*AF148,"")</f>
        <v/>
      </c>
      <c r="AI148" s="1498" t="str">
        <f t="shared" ref="AI148" si="227">IFERROR(ROUNDDOWN(ROUND((L146*(U148-AW146)),0),0)*AF148,"")</f>
        <v/>
      </c>
      <c r="AJ148" s="1369" t="str">
        <f>IFERROR(ROUNDDOWN(ROUNDDOWN(ROUND(L146*VLOOKUP(K146,【参考】数式用!$A$5:$AB$27,MATCH("新加算Ⅳ",【参考】数式用!$B$4:$AB$4,0)+1,0),0),0)*AF148*0.5,0),"")</f>
        <v/>
      </c>
      <c r="AK148" s="1500"/>
      <c r="AL148" s="1502" t="str">
        <f>IFERROR(IF('別紙様式2-2（４・５月分）'!P148="ベア加算","", IF(OR(T148="新加算Ⅰ",T148="新加算Ⅱ",T148="新加算Ⅲ",T148="新加算Ⅳ"),ROUNDDOWN(ROUND(L146*VLOOKUP(K146,【参考】数式用!$A$5:$I$27,MATCH("ベア加算",【参考】数式用!$B$4:$I$4,0)+1,0),0),0)*AF148,"")),"")</f>
        <v/>
      </c>
      <c r="AM148" s="1494"/>
      <c r="AN148" s="1475"/>
      <c r="AO148" s="1496"/>
      <c r="AP148" s="1475"/>
      <c r="AQ148" s="1477"/>
      <c r="AR148" s="1479"/>
      <c r="AS148" s="1483"/>
      <c r="AT148" s="451"/>
      <c r="AU148" s="1303" t="str">
        <f>IF(AND(AA146&lt;&gt;7,AC146&lt;&gt;3),"V列に色付け","")</f>
        <v/>
      </c>
      <c r="AV148" s="1304"/>
      <c r="AW148" s="1305"/>
      <c r="AX148" s="574"/>
      <c r="AY148" s="1222" t="str">
        <f>IF(AL148&lt;&gt;"",IF(AM148="○","入力済","未入力"),"")</f>
        <v/>
      </c>
      <c r="AZ148" s="1222"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2" t="str">
        <f>IF(OR(T148="新加算Ⅴ（７）",T148="新加算Ⅴ（９）",T148="新加算Ⅴ（10）",T148="新加算Ⅴ（12）",T148="新加算Ⅴ（13）",T148="新加算Ⅴ（14）"),IF(OR(AO148="○",AO148="令和６年度中に満たす"),"入力済","未入力"),"")</f>
        <v/>
      </c>
      <c r="BB148" s="1222" t="str">
        <f>IF(OR(T148="新加算Ⅰ",T148="新加算Ⅱ",T148="新加算Ⅲ",T148="新加算Ⅴ（１）",T148="新加算Ⅴ（３）",T148="新加算Ⅴ（８）"),IF(OR(AP148="○",AP148="令和６年度中に満たす"),"入力済","未入力"),"")</f>
        <v/>
      </c>
      <c r="BC148" s="1472"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03" t="str">
        <f>IF(OR(T148="新加算Ⅰ",T148="新加算Ⅴ（１）",T148="新加算Ⅴ（２）",T148="新加算Ⅴ（５）",T148="新加算Ⅴ（７）",T148="新加算Ⅴ（10）"),IF(AR148="","未入力","入力済"),"")</f>
        <v/>
      </c>
      <c r="BE148" s="1303" t="str">
        <f>G146</f>
        <v/>
      </c>
      <c r="BF148" s="1303"/>
      <c r="BG148" s="1303"/>
    </row>
    <row r="149" spans="1:59" ht="30" customHeight="1" thickBot="1">
      <c r="A149" s="1268"/>
      <c r="B149" s="1411"/>
      <c r="C149" s="1412"/>
      <c r="D149" s="1412"/>
      <c r="E149" s="1412"/>
      <c r="F149" s="1413"/>
      <c r="G149" s="1253"/>
      <c r="H149" s="1253"/>
      <c r="I149" s="1253"/>
      <c r="J149" s="1416"/>
      <c r="K149" s="1253"/>
      <c r="L149" s="1422"/>
      <c r="M149" s="553" t="str">
        <f>IF('別紙様式2-2（４・５月分）'!P115="","",'別紙様式2-2（４・５月分）'!P115)</f>
        <v/>
      </c>
      <c r="N149" s="1394"/>
      <c r="O149" s="1374"/>
      <c r="P149" s="1426"/>
      <c r="Q149" s="1378"/>
      <c r="R149" s="1509"/>
      <c r="S149" s="1382"/>
      <c r="T149" s="1511"/>
      <c r="U149" s="1507"/>
      <c r="V149" s="1388"/>
      <c r="W149" s="1505"/>
      <c r="X149" s="1364"/>
      <c r="Y149" s="1505"/>
      <c r="Z149" s="1364"/>
      <c r="AA149" s="1505"/>
      <c r="AB149" s="1364"/>
      <c r="AC149" s="1505"/>
      <c r="AD149" s="1364"/>
      <c r="AE149" s="1364"/>
      <c r="AF149" s="1364"/>
      <c r="AG149" s="1360"/>
      <c r="AH149" s="1366"/>
      <c r="AI149" s="1499"/>
      <c r="AJ149" s="1370"/>
      <c r="AK149" s="1501"/>
      <c r="AL149" s="1503"/>
      <c r="AM149" s="1495"/>
      <c r="AN149" s="1476"/>
      <c r="AO149" s="1497"/>
      <c r="AP149" s="1476"/>
      <c r="AQ149" s="1478"/>
      <c r="AR149" s="1480"/>
      <c r="AS149" s="575"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1"/>
      <c r="AU149" s="1303"/>
      <c r="AV149" s="555" t="str">
        <f>IF('別紙様式2-2（４・５月分）'!N115="","",'別紙様式2-2（４・５月分）'!N115)</f>
        <v/>
      </c>
      <c r="AW149" s="1305"/>
      <c r="AX149" s="576"/>
      <c r="AY149" s="1222" t="str">
        <f>IF(OR(T149="新加算Ⅰ",T149="新加算Ⅱ",T149="新加算Ⅲ",T149="新加算Ⅳ",T149="新加算Ⅴ（１）",T149="新加算Ⅴ（２）",T149="新加算Ⅴ（３）",T149="新加算ⅠⅤ（４）",T149="新加算Ⅴ（５）",T149="新加算Ⅴ（６）",T149="新加算Ⅴ（８）",T149="新加算Ⅴ（11）"),IF(AI149="○","","未入力"),"")</f>
        <v/>
      </c>
      <c r="AZ149" s="1222" t="str">
        <f>IF(OR(U149="新加算Ⅰ",U149="新加算Ⅱ",U149="新加算Ⅲ",U149="新加算Ⅳ",U149="新加算Ⅴ（１）",U149="新加算Ⅴ（２）",U149="新加算Ⅴ（３）",U149="新加算ⅠⅤ（４）",U149="新加算Ⅴ（５）",U149="新加算Ⅴ（６）",U149="新加算Ⅴ（８）",U149="新加算Ⅴ（11）"),IF(AJ149="○","","未入力"),"")</f>
        <v/>
      </c>
      <c r="BA149" s="1222" t="str">
        <f>IF(OR(U149="新加算Ⅴ（７）",U149="新加算Ⅴ（９）",U149="新加算Ⅴ（10）",U149="新加算Ⅴ（12）",U149="新加算Ⅴ（13）",U149="新加算Ⅴ（14）"),IF(AK149="○","","未入力"),"")</f>
        <v/>
      </c>
      <c r="BB149" s="1222" t="str">
        <f>IF(OR(U149="新加算Ⅰ",U149="新加算Ⅱ",U149="新加算Ⅲ",U149="新加算Ⅴ（１）",U149="新加算Ⅴ（３）",U149="新加算Ⅴ（８）"),IF(AL149="○","","未入力"),"")</f>
        <v/>
      </c>
      <c r="BC149" s="1472"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03" t="str">
        <f>IF(AND(T149&lt;&gt;"（参考）令和７年度の移行予定",OR(U149="新加算Ⅰ",U149="新加算Ⅴ（１）",U149="新加算Ⅴ（２）",U149="新加算Ⅴ（５）",U149="新加算Ⅴ（７）",U149="新加算Ⅴ（10）")),IF(AN149="","未入力",IF(AN149="いずれも取得していない","要件を満たさない","")),"")</f>
        <v/>
      </c>
      <c r="BE149" s="1303" t="str">
        <f>G146</f>
        <v/>
      </c>
      <c r="BF149" s="1303"/>
      <c r="BG149" s="1303"/>
    </row>
    <row r="150" spans="1:59" ht="30" customHeight="1">
      <c r="A150" s="1266">
        <v>35</v>
      </c>
      <c r="B150" s="1235" t="str">
        <f>IF(基本情報入力シート!C88="","",基本情報入力シート!C88)</f>
        <v/>
      </c>
      <c r="C150" s="1236"/>
      <c r="D150" s="1236"/>
      <c r="E150" s="1236"/>
      <c r="F150" s="1237"/>
      <c r="G150" s="1252" t="str">
        <f>IF(基本情報入力シート!M88="","",基本情報入力シート!M88)</f>
        <v/>
      </c>
      <c r="H150" s="1252" t="str">
        <f>IF(基本情報入力シート!R88="","",基本情報入力シート!R88)</f>
        <v/>
      </c>
      <c r="I150" s="1252" t="str">
        <f>IF(基本情報入力シート!W88="","",基本情報入力シート!W88)</f>
        <v/>
      </c>
      <c r="J150" s="1415" t="str">
        <f>IF(基本情報入力シート!X88="","",基本情報入力シート!X88)</f>
        <v/>
      </c>
      <c r="K150" s="1252" t="str">
        <f>IF(基本情報入力シート!Y88="","",基本情報入力シート!Y88)</f>
        <v/>
      </c>
      <c r="L150" s="1421" t="str">
        <f>IF(基本情報入力シート!AB88="","",基本情報入力シート!AB88)</f>
        <v/>
      </c>
      <c r="M150" s="550" t="str">
        <f>IF('別紙様式2-2（４・５月分）'!P116="","",'別紙様式2-2（４・５月分）'!P116)</f>
        <v/>
      </c>
      <c r="N150" s="1391" t="str">
        <f>IF(SUM('別紙様式2-2（４・５月分）'!Q116:Q118)=0,"",SUM('別紙様式2-2（４・５月分）'!Q116:Q118))</f>
        <v/>
      </c>
      <c r="O150" s="1395" t="str">
        <f>IFERROR(VLOOKUP('別紙様式2-2（４・５月分）'!AQ116,【参考】数式用!$AR$5:$AS$22,2,FALSE),"")</f>
        <v/>
      </c>
      <c r="P150" s="1396"/>
      <c r="Q150" s="1397"/>
      <c r="R150" s="1531" t="str">
        <f>IFERROR(VLOOKUP(K150,【参考】数式用!$A$5:$AB$37,MATCH(O150,【参考】数式用!$B$4:$AB$4,0)+1,0),"")</f>
        <v/>
      </c>
      <c r="S150" s="1403" t="s">
        <v>2102</v>
      </c>
      <c r="T150" s="1527" t="str">
        <f>IF('別紙様式2-3（６月以降分）'!T150="","",'別紙様式2-3（６月以降分）'!T150)</f>
        <v/>
      </c>
      <c r="U150" s="1529" t="str">
        <f>IFERROR(VLOOKUP(K150,【参考】数式用!$A$5:$AB$37,MATCH(T150,【参考】数式用!$B$4:$AB$4,0)+1,0),"")</f>
        <v/>
      </c>
      <c r="V150" s="1409" t="s">
        <v>15</v>
      </c>
      <c r="W150" s="1525">
        <f>'別紙様式2-3（６月以降分）'!W150</f>
        <v>6</v>
      </c>
      <c r="X150" s="1349" t="s">
        <v>10</v>
      </c>
      <c r="Y150" s="1525">
        <f>'別紙様式2-3（６月以降分）'!Y150</f>
        <v>6</v>
      </c>
      <c r="Z150" s="1349" t="s">
        <v>38</v>
      </c>
      <c r="AA150" s="1525">
        <f>'別紙様式2-3（６月以降分）'!AA150</f>
        <v>7</v>
      </c>
      <c r="AB150" s="1349" t="s">
        <v>10</v>
      </c>
      <c r="AC150" s="1525">
        <f>'別紙様式2-3（６月以降分）'!AC150</f>
        <v>3</v>
      </c>
      <c r="AD150" s="1349" t="s">
        <v>2020</v>
      </c>
      <c r="AE150" s="1349" t="s">
        <v>20</v>
      </c>
      <c r="AF150" s="1349">
        <f>IF(W150&gt;=1,(AA150*12+AC150)-(W150*12+Y150)+1,"")</f>
        <v>10</v>
      </c>
      <c r="AG150" s="1351" t="s">
        <v>33</v>
      </c>
      <c r="AH150" s="1517" t="str">
        <f>'別紙様式2-3（６月以降分）'!AH150</f>
        <v/>
      </c>
      <c r="AI150" s="1519" t="str">
        <f>'別紙様式2-3（６月以降分）'!AI150</f>
        <v/>
      </c>
      <c r="AJ150" s="1521">
        <f>'別紙様式2-3（６月以降分）'!AJ150</f>
        <v>0</v>
      </c>
      <c r="AK150" s="1523" t="str">
        <f>IF('別紙様式2-3（６月以降分）'!AK150="","",'別紙様式2-3（６月以降分）'!AK150)</f>
        <v/>
      </c>
      <c r="AL150" s="1512">
        <f>'別紙様式2-3（６月以降分）'!AL150</f>
        <v>0</v>
      </c>
      <c r="AM150" s="1514" t="str">
        <f>IF('別紙様式2-3（６月以降分）'!AM150="","",'別紙様式2-3（６月以降分）'!AM150)</f>
        <v/>
      </c>
      <c r="AN150" s="1333" t="str">
        <f>IF('別紙様式2-3（６月以降分）'!AN150="","",'別紙様式2-3（６月以降分）'!AN150)</f>
        <v/>
      </c>
      <c r="AO150" s="1331" t="str">
        <f>IF('別紙様式2-3（６月以降分）'!AO150="","",'別紙様式2-3（６月以降分）'!AO150)</f>
        <v/>
      </c>
      <c r="AP150" s="1333" t="str">
        <f>IF('別紙様式2-3（６月以降分）'!AP150="","",'別紙様式2-3（６月以降分）'!AP150)</f>
        <v/>
      </c>
      <c r="AQ150" s="1481" t="str">
        <f>IF('別紙様式2-3（６月以降分）'!AQ150="","",'別紙様式2-3（６月以降分）'!AQ150)</f>
        <v/>
      </c>
      <c r="AR150" s="1484" t="str">
        <f>IF('別紙様式2-3（６月以降分）'!AR150="","",'別紙様式2-3（６月以降分）'!AR150)</f>
        <v/>
      </c>
      <c r="AS150" s="570" t="str">
        <f t="shared" ref="AS150" si="231">IF(AU152="","",IF(U152&lt;U150,"！加算の要件上は問題ありませんが、令和６年度当初の新加算の加算率と比較して、移行後の加算率が下がる計画になっています。",""))</f>
        <v/>
      </c>
      <c r="AT150" s="577"/>
      <c r="AU150" s="1301"/>
      <c r="AV150" s="555" t="str">
        <f>IF('別紙様式2-2（４・５月分）'!N116="","",'別紙様式2-2（４・５月分）'!N116)</f>
        <v/>
      </c>
      <c r="AW150" s="1305" t="str">
        <f>IF(SUM('別紙様式2-2（４・５月分）'!O116:O118)=0,"",SUM('別紙様式2-2（４・５月分）'!O116:O118))</f>
        <v/>
      </c>
      <c r="AX150" s="1473" t="str">
        <f>IFERROR(VLOOKUP(K150,【参考】数式用!$AH$2:$AI$34,2,FALSE),"")</f>
        <v/>
      </c>
      <c r="AY150" s="493"/>
      <c r="BD150" s="340"/>
      <c r="BE150" s="1303" t="str">
        <f>G150</f>
        <v/>
      </c>
      <c r="BF150" s="1303"/>
      <c r="BG150" s="1303"/>
    </row>
    <row r="151" spans="1:59" ht="15" customHeight="1">
      <c r="A151" s="1267"/>
      <c r="B151" s="1235"/>
      <c r="C151" s="1236"/>
      <c r="D151" s="1236"/>
      <c r="E151" s="1236"/>
      <c r="F151" s="1237"/>
      <c r="G151" s="1252"/>
      <c r="H151" s="1252"/>
      <c r="I151" s="1252"/>
      <c r="J151" s="1415"/>
      <c r="K151" s="1252"/>
      <c r="L151" s="1421"/>
      <c r="M151" s="1371" t="str">
        <f>IF('別紙様式2-2（４・５月分）'!P117="","",'別紙様式2-2（４・５月分）'!P117)</f>
        <v/>
      </c>
      <c r="N151" s="1392"/>
      <c r="O151" s="1398"/>
      <c r="P151" s="1399"/>
      <c r="Q151" s="1400"/>
      <c r="R151" s="1532"/>
      <c r="S151" s="1404"/>
      <c r="T151" s="1528"/>
      <c r="U151" s="1530"/>
      <c r="V151" s="1410"/>
      <c r="W151" s="1526"/>
      <c r="X151" s="1350"/>
      <c r="Y151" s="1526"/>
      <c r="Z151" s="1350"/>
      <c r="AA151" s="1526"/>
      <c r="AB151" s="1350"/>
      <c r="AC151" s="1526"/>
      <c r="AD151" s="1350"/>
      <c r="AE151" s="1350"/>
      <c r="AF151" s="1350"/>
      <c r="AG151" s="1352"/>
      <c r="AH151" s="1518"/>
      <c r="AI151" s="1520"/>
      <c r="AJ151" s="1522"/>
      <c r="AK151" s="1524"/>
      <c r="AL151" s="1513"/>
      <c r="AM151" s="1515"/>
      <c r="AN151" s="1334"/>
      <c r="AO151" s="1516"/>
      <c r="AP151" s="1334"/>
      <c r="AQ151" s="1482"/>
      <c r="AR151" s="1485"/>
      <c r="AS151" s="1483" t="str">
        <f t="shared" ref="AS151" si="232">IF(AU152="","",IF(OR(AA152="",AA152&lt;&gt;7,AC152="",AC152&lt;&gt;3),"！算定期間の終わりが令和７年３月になっていません。年度内の廃止予定等がなければ、算定対象月を令和７年３月にしてください。",""))</f>
        <v/>
      </c>
      <c r="AT151" s="577"/>
      <c r="AU151" s="1303"/>
      <c r="AV151" s="1304" t="str">
        <f>IF('別紙様式2-2（４・５月分）'!N117="","",'別紙様式2-2（４・５月分）'!N117)</f>
        <v/>
      </c>
      <c r="AW151" s="1305"/>
      <c r="AX151" s="1474"/>
      <c r="AY151" s="430"/>
      <c r="BD151" s="340"/>
      <c r="BE151" s="1303" t="str">
        <f>G150</f>
        <v/>
      </c>
      <c r="BF151" s="1303"/>
      <c r="BG151" s="1303"/>
    </row>
    <row r="152" spans="1:59" ht="15" customHeight="1">
      <c r="A152" s="1295"/>
      <c r="B152" s="1235"/>
      <c r="C152" s="1236"/>
      <c r="D152" s="1236"/>
      <c r="E152" s="1236"/>
      <c r="F152" s="1237"/>
      <c r="G152" s="1252"/>
      <c r="H152" s="1252"/>
      <c r="I152" s="1252"/>
      <c r="J152" s="1415"/>
      <c r="K152" s="1252"/>
      <c r="L152" s="1421"/>
      <c r="M152" s="1372"/>
      <c r="N152" s="1393"/>
      <c r="O152" s="1373" t="s">
        <v>2025</v>
      </c>
      <c r="P152" s="1425" t="str">
        <f>IFERROR(VLOOKUP('別紙様式2-2（４・５月分）'!AQ116,【参考】数式用!$AR$5:$AT$22,3,FALSE),"")</f>
        <v/>
      </c>
      <c r="Q152" s="1377" t="s">
        <v>2036</v>
      </c>
      <c r="R152" s="1508" t="str">
        <f>IFERROR(VLOOKUP(K150,【参考】数式用!$A$5:$AB$37,MATCH(P152,【参考】数式用!$B$4:$AB$4,0)+1,0),"")</f>
        <v/>
      </c>
      <c r="S152" s="1381" t="s">
        <v>2109</v>
      </c>
      <c r="T152" s="1510"/>
      <c r="U152" s="1506" t="str">
        <f>IFERROR(VLOOKUP(K150,【参考】数式用!$A$5:$AB$37,MATCH(T152,【参考】数式用!$B$4:$AB$4,0)+1,0),"")</f>
        <v/>
      </c>
      <c r="V152" s="1387" t="s">
        <v>15</v>
      </c>
      <c r="W152" s="1504"/>
      <c r="X152" s="1363" t="s">
        <v>10</v>
      </c>
      <c r="Y152" s="1504"/>
      <c r="Z152" s="1363" t="s">
        <v>38</v>
      </c>
      <c r="AA152" s="1504"/>
      <c r="AB152" s="1363" t="s">
        <v>10</v>
      </c>
      <c r="AC152" s="1504"/>
      <c r="AD152" s="1363" t="s">
        <v>2020</v>
      </c>
      <c r="AE152" s="1363" t="s">
        <v>20</v>
      </c>
      <c r="AF152" s="1363" t="str">
        <f>IF(W152&gt;=1,(AA152*12+AC152)-(W152*12+Y152)+1,"")</f>
        <v/>
      </c>
      <c r="AG152" s="1359" t="s">
        <v>33</v>
      </c>
      <c r="AH152" s="1365" t="str">
        <f t="shared" ref="AH152" si="233">IFERROR(ROUNDDOWN(ROUND(L150*U152,0),0)*AF152,"")</f>
        <v/>
      </c>
      <c r="AI152" s="1498" t="str">
        <f t="shared" ref="AI152" si="234">IFERROR(ROUNDDOWN(ROUND((L150*(U152-AW150)),0),0)*AF152,"")</f>
        <v/>
      </c>
      <c r="AJ152" s="1369" t="str">
        <f>IFERROR(ROUNDDOWN(ROUNDDOWN(ROUND(L150*VLOOKUP(K150,【参考】数式用!$A$5:$AB$27,MATCH("新加算Ⅳ",【参考】数式用!$B$4:$AB$4,0)+1,0),0),0)*AF152*0.5,0),"")</f>
        <v/>
      </c>
      <c r="AK152" s="1500"/>
      <c r="AL152" s="1502" t="str">
        <f>IFERROR(IF('別紙様式2-2（４・５月分）'!P152="ベア加算","", IF(OR(T152="新加算Ⅰ",T152="新加算Ⅱ",T152="新加算Ⅲ",T152="新加算Ⅳ"),ROUNDDOWN(ROUND(L150*VLOOKUP(K150,【参考】数式用!$A$5:$I$27,MATCH("ベア加算",【参考】数式用!$B$4:$I$4,0)+1,0),0),0)*AF152,"")),"")</f>
        <v/>
      </c>
      <c r="AM152" s="1494"/>
      <c r="AN152" s="1475"/>
      <c r="AO152" s="1496"/>
      <c r="AP152" s="1475"/>
      <c r="AQ152" s="1477"/>
      <c r="AR152" s="1479"/>
      <c r="AS152" s="1483"/>
      <c r="AT152" s="451"/>
      <c r="AU152" s="1303" t="str">
        <f>IF(AND(AA150&lt;&gt;7,AC150&lt;&gt;3),"V列に色付け","")</f>
        <v/>
      </c>
      <c r="AV152" s="1304"/>
      <c r="AW152" s="1305"/>
      <c r="AX152" s="574"/>
      <c r="AY152" s="1222" t="str">
        <f>IF(AL152&lt;&gt;"",IF(AM152="○","入力済","未入力"),"")</f>
        <v/>
      </c>
      <c r="AZ152" s="1222"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2" t="str">
        <f>IF(OR(T152="新加算Ⅴ（７）",T152="新加算Ⅴ（９）",T152="新加算Ⅴ（10）",T152="新加算Ⅴ（12）",T152="新加算Ⅴ（13）",T152="新加算Ⅴ（14）"),IF(OR(AO152="○",AO152="令和６年度中に満たす"),"入力済","未入力"),"")</f>
        <v/>
      </c>
      <c r="BB152" s="1222" t="str">
        <f>IF(OR(T152="新加算Ⅰ",T152="新加算Ⅱ",T152="新加算Ⅲ",T152="新加算Ⅴ（１）",T152="新加算Ⅴ（３）",T152="新加算Ⅴ（８）"),IF(OR(AP152="○",AP152="令和６年度中に満たす"),"入力済","未入力"),"")</f>
        <v/>
      </c>
      <c r="BC152" s="1472"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03" t="str">
        <f>IF(OR(T152="新加算Ⅰ",T152="新加算Ⅴ（１）",T152="新加算Ⅴ（２）",T152="新加算Ⅴ（５）",T152="新加算Ⅴ（７）",T152="新加算Ⅴ（10）"),IF(AR152="","未入力","入力済"),"")</f>
        <v/>
      </c>
      <c r="BE152" s="1303" t="str">
        <f>G150</f>
        <v/>
      </c>
      <c r="BF152" s="1303"/>
      <c r="BG152" s="1303"/>
    </row>
    <row r="153" spans="1:59" ht="30" customHeight="1" thickBot="1">
      <c r="A153" s="1268"/>
      <c r="B153" s="1411"/>
      <c r="C153" s="1412"/>
      <c r="D153" s="1412"/>
      <c r="E153" s="1412"/>
      <c r="F153" s="1413"/>
      <c r="G153" s="1253"/>
      <c r="H153" s="1253"/>
      <c r="I153" s="1253"/>
      <c r="J153" s="1416"/>
      <c r="K153" s="1253"/>
      <c r="L153" s="1422"/>
      <c r="M153" s="553" t="str">
        <f>IF('別紙様式2-2（４・５月分）'!P118="","",'別紙様式2-2（４・５月分）'!P118)</f>
        <v/>
      </c>
      <c r="N153" s="1394"/>
      <c r="O153" s="1374"/>
      <c r="P153" s="1426"/>
      <c r="Q153" s="1378"/>
      <c r="R153" s="1509"/>
      <c r="S153" s="1382"/>
      <c r="T153" s="1511"/>
      <c r="U153" s="1507"/>
      <c r="V153" s="1388"/>
      <c r="W153" s="1505"/>
      <c r="X153" s="1364"/>
      <c r="Y153" s="1505"/>
      <c r="Z153" s="1364"/>
      <c r="AA153" s="1505"/>
      <c r="AB153" s="1364"/>
      <c r="AC153" s="1505"/>
      <c r="AD153" s="1364"/>
      <c r="AE153" s="1364"/>
      <c r="AF153" s="1364"/>
      <c r="AG153" s="1360"/>
      <c r="AH153" s="1366"/>
      <c r="AI153" s="1499"/>
      <c r="AJ153" s="1370"/>
      <c r="AK153" s="1501"/>
      <c r="AL153" s="1503"/>
      <c r="AM153" s="1495"/>
      <c r="AN153" s="1476"/>
      <c r="AO153" s="1497"/>
      <c r="AP153" s="1476"/>
      <c r="AQ153" s="1478"/>
      <c r="AR153" s="1480"/>
      <c r="AS153" s="575"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1"/>
      <c r="AU153" s="1303"/>
      <c r="AV153" s="555" t="str">
        <f>IF('別紙様式2-2（４・５月分）'!N118="","",'別紙様式2-2（４・５月分）'!N118)</f>
        <v/>
      </c>
      <c r="AW153" s="1305"/>
      <c r="AX153" s="576"/>
      <c r="AY153" s="1222" t="str">
        <f>IF(OR(T153="新加算Ⅰ",T153="新加算Ⅱ",T153="新加算Ⅲ",T153="新加算Ⅳ",T153="新加算Ⅴ（１）",T153="新加算Ⅴ（２）",T153="新加算Ⅴ（３）",T153="新加算ⅠⅤ（４）",T153="新加算Ⅴ（５）",T153="新加算Ⅴ（６）",T153="新加算Ⅴ（８）",T153="新加算Ⅴ（11）"),IF(AI153="○","","未入力"),"")</f>
        <v/>
      </c>
      <c r="AZ153" s="1222" t="str">
        <f>IF(OR(U153="新加算Ⅰ",U153="新加算Ⅱ",U153="新加算Ⅲ",U153="新加算Ⅳ",U153="新加算Ⅴ（１）",U153="新加算Ⅴ（２）",U153="新加算Ⅴ（３）",U153="新加算ⅠⅤ（４）",U153="新加算Ⅴ（５）",U153="新加算Ⅴ（６）",U153="新加算Ⅴ（８）",U153="新加算Ⅴ（11）"),IF(AJ153="○","","未入力"),"")</f>
        <v/>
      </c>
      <c r="BA153" s="1222" t="str">
        <f>IF(OR(U153="新加算Ⅴ（７）",U153="新加算Ⅴ（９）",U153="新加算Ⅴ（10）",U153="新加算Ⅴ（12）",U153="新加算Ⅴ（13）",U153="新加算Ⅴ（14）"),IF(AK153="○","","未入力"),"")</f>
        <v/>
      </c>
      <c r="BB153" s="1222" t="str">
        <f>IF(OR(U153="新加算Ⅰ",U153="新加算Ⅱ",U153="新加算Ⅲ",U153="新加算Ⅴ（１）",U153="新加算Ⅴ（３）",U153="新加算Ⅴ（８）"),IF(AL153="○","","未入力"),"")</f>
        <v/>
      </c>
      <c r="BC153" s="1472"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03" t="str">
        <f>IF(AND(T153&lt;&gt;"（参考）令和７年度の移行予定",OR(U153="新加算Ⅰ",U153="新加算Ⅴ（１）",U153="新加算Ⅴ（２）",U153="新加算Ⅴ（５）",U153="新加算Ⅴ（７）",U153="新加算Ⅴ（10）")),IF(AN153="","未入力",IF(AN153="いずれも取得していない","要件を満たさない","")),"")</f>
        <v/>
      </c>
      <c r="BE153" s="1303" t="str">
        <f>G150</f>
        <v/>
      </c>
      <c r="BF153" s="1303"/>
      <c r="BG153" s="1303"/>
    </row>
    <row r="154" spans="1:59" ht="30" customHeight="1">
      <c r="A154" s="1293">
        <v>36</v>
      </c>
      <c r="B154" s="1232" t="str">
        <f>IF(基本情報入力シート!C89="","",基本情報入力シート!C89)</f>
        <v/>
      </c>
      <c r="C154" s="1233"/>
      <c r="D154" s="1233"/>
      <c r="E154" s="1233"/>
      <c r="F154" s="1234"/>
      <c r="G154" s="1251" t="str">
        <f>IF(基本情報入力シート!M89="","",基本情報入力シート!M89)</f>
        <v/>
      </c>
      <c r="H154" s="1251" t="str">
        <f>IF(基本情報入力シート!R89="","",基本情報入力シート!R89)</f>
        <v/>
      </c>
      <c r="I154" s="1251" t="str">
        <f>IF(基本情報入力シート!W89="","",基本情報入力シート!W89)</f>
        <v/>
      </c>
      <c r="J154" s="1414" t="str">
        <f>IF(基本情報入力シート!X89="","",基本情報入力シート!X89)</f>
        <v/>
      </c>
      <c r="K154" s="1251" t="str">
        <f>IF(基本情報入力シート!Y89="","",基本情報入力シート!Y89)</f>
        <v/>
      </c>
      <c r="L154" s="1427" t="str">
        <f>IF(基本情報入力シート!AB89="","",基本情報入力シート!AB89)</f>
        <v/>
      </c>
      <c r="M154" s="550" t="str">
        <f>IF('別紙様式2-2（４・５月分）'!P119="","",'別紙様式2-2（４・５月分）'!P119)</f>
        <v/>
      </c>
      <c r="N154" s="1391" t="str">
        <f>IF(SUM('別紙様式2-2（４・５月分）'!Q119:Q121)=0,"",SUM('別紙様式2-2（４・５月分）'!Q119:Q121))</f>
        <v/>
      </c>
      <c r="O154" s="1395" t="str">
        <f>IFERROR(VLOOKUP('別紙様式2-2（４・５月分）'!AQ119,【参考】数式用!$AR$5:$AS$22,2,FALSE),"")</f>
        <v/>
      </c>
      <c r="P154" s="1396"/>
      <c r="Q154" s="1397"/>
      <c r="R154" s="1531" t="str">
        <f>IFERROR(VLOOKUP(K154,【参考】数式用!$A$5:$AB$37,MATCH(O154,【参考】数式用!$B$4:$AB$4,0)+1,0),"")</f>
        <v/>
      </c>
      <c r="S154" s="1403" t="s">
        <v>2102</v>
      </c>
      <c r="T154" s="1527" t="str">
        <f>IF('別紙様式2-3（６月以降分）'!T154="","",'別紙様式2-3（６月以降分）'!T154)</f>
        <v/>
      </c>
      <c r="U154" s="1529" t="str">
        <f>IFERROR(VLOOKUP(K154,【参考】数式用!$A$5:$AB$37,MATCH(T154,【参考】数式用!$B$4:$AB$4,0)+1,0),"")</f>
        <v/>
      </c>
      <c r="V154" s="1409" t="s">
        <v>15</v>
      </c>
      <c r="W154" s="1525">
        <f>'別紙様式2-3（６月以降分）'!W154</f>
        <v>6</v>
      </c>
      <c r="X154" s="1349" t="s">
        <v>10</v>
      </c>
      <c r="Y154" s="1525">
        <f>'別紙様式2-3（６月以降分）'!Y154</f>
        <v>6</v>
      </c>
      <c r="Z154" s="1349" t="s">
        <v>38</v>
      </c>
      <c r="AA154" s="1525">
        <f>'別紙様式2-3（６月以降分）'!AA154</f>
        <v>7</v>
      </c>
      <c r="AB154" s="1349" t="s">
        <v>10</v>
      </c>
      <c r="AC154" s="1525">
        <f>'別紙様式2-3（６月以降分）'!AC154</f>
        <v>3</v>
      </c>
      <c r="AD154" s="1349" t="s">
        <v>2020</v>
      </c>
      <c r="AE154" s="1349" t="s">
        <v>20</v>
      </c>
      <c r="AF154" s="1349">
        <f>IF(W154&gt;=1,(AA154*12+AC154)-(W154*12+Y154)+1,"")</f>
        <v>10</v>
      </c>
      <c r="AG154" s="1351" t="s">
        <v>33</v>
      </c>
      <c r="AH154" s="1517" t="str">
        <f>'別紙様式2-3（６月以降分）'!AH154</f>
        <v/>
      </c>
      <c r="AI154" s="1519" t="str">
        <f>'別紙様式2-3（６月以降分）'!AI154</f>
        <v/>
      </c>
      <c r="AJ154" s="1521">
        <f>'別紙様式2-3（６月以降分）'!AJ154</f>
        <v>0</v>
      </c>
      <c r="AK154" s="1523" t="str">
        <f>IF('別紙様式2-3（６月以降分）'!AK154="","",'別紙様式2-3（６月以降分）'!AK154)</f>
        <v/>
      </c>
      <c r="AL154" s="1512">
        <f>'別紙様式2-3（６月以降分）'!AL154</f>
        <v>0</v>
      </c>
      <c r="AM154" s="1514" t="str">
        <f>IF('別紙様式2-3（６月以降分）'!AM154="","",'別紙様式2-3（６月以降分）'!AM154)</f>
        <v/>
      </c>
      <c r="AN154" s="1333" t="str">
        <f>IF('別紙様式2-3（６月以降分）'!AN154="","",'別紙様式2-3（６月以降分）'!AN154)</f>
        <v/>
      </c>
      <c r="AO154" s="1331" t="str">
        <f>IF('別紙様式2-3（６月以降分）'!AO154="","",'別紙様式2-3（６月以降分）'!AO154)</f>
        <v/>
      </c>
      <c r="AP154" s="1333" t="str">
        <f>IF('別紙様式2-3（６月以降分）'!AP154="","",'別紙様式2-3（６月以降分）'!AP154)</f>
        <v/>
      </c>
      <c r="AQ154" s="1481" t="str">
        <f>IF('別紙様式2-3（６月以降分）'!AQ154="","",'別紙様式2-3（６月以降分）'!AQ154)</f>
        <v/>
      </c>
      <c r="AR154" s="1484" t="str">
        <f>IF('別紙様式2-3（６月以降分）'!AR154="","",'別紙様式2-3（６月以降分）'!AR154)</f>
        <v/>
      </c>
      <c r="AS154" s="570" t="str">
        <f t="shared" ref="AS154" si="238">IF(AU156="","",IF(U156&lt;U154,"！加算の要件上は問題ありませんが、令和６年度当初の新加算の加算率と比較して、移行後の加算率が下がる計画になっています。",""))</f>
        <v/>
      </c>
      <c r="AT154" s="577"/>
      <c r="AU154" s="1301"/>
      <c r="AV154" s="555" t="str">
        <f>IF('別紙様式2-2（４・５月分）'!N119="","",'別紙様式2-2（４・５月分）'!N119)</f>
        <v/>
      </c>
      <c r="AW154" s="1305" t="str">
        <f>IF(SUM('別紙様式2-2（４・５月分）'!O119:O121)=0,"",SUM('別紙様式2-2（４・５月分）'!O119:O121))</f>
        <v/>
      </c>
      <c r="AX154" s="1473" t="str">
        <f>IFERROR(VLOOKUP(K154,【参考】数式用!$AH$2:$AI$34,2,FALSE),"")</f>
        <v/>
      </c>
      <c r="AY154" s="493"/>
      <c r="BD154" s="340"/>
      <c r="BE154" s="1303" t="str">
        <f>G154</f>
        <v/>
      </c>
      <c r="BF154" s="1303"/>
      <c r="BG154" s="1303"/>
    </row>
    <row r="155" spans="1:59" ht="15" customHeight="1">
      <c r="A155" s="1267"/>
      <c r="B155" s="1235"/>
      <c r="C155" s="1236"/>
      <c r="D155" s="1236"/>
      <c r="E155" s="1236"/>
      <c r="F155" s="1237"/>
      <c r="G155" s="1252"/>
      <c r="H155" s="1252"/>
      <c r="I155" s="1252"/>
      <c r="J155" s="1415"/>
      <c r="K155" s="1252"/>
      <c r="L155" s="1421"/>
      <c r="M155" s="1371" t="str">
        <f>IF('別紙様式2-2（４・５月分）'!P120="","",'別紙様式2-2（４・５月分）'!P120)</f>
        <v/>
      </c>
      <c r="N155" s="1392"/>
      <c r="O155" s="1398"/>
      <c r="P155" s="1399"/>
      <c r="Q155" s="1400"/>
      <c r="R155" s="1532"/>
      <c r="S155" s="1404"/>
      <c r="T155" s="1528"/>
      <c r="U155" s="1530"/>
      <c r="V155" s="1410"/>
      <c r="W155" s="1526"/>
      <c r="X155" s="1350"/>
      <c r="Y155" s="1526"/>
      <c r="Z155" s="1350"/>
      <c r="AA155" s="1526"/>
      <c r="AB155" s="1350"/>
      <c r="AC155" s="1526"/>
      <c r="AD155" s="1350"/>
      <c r="AE155" s="1350"/>
      <c r="AF155" s="1350"/>
      <c r="AG155" s="1352"/>
      <c r="AH155" s="1518"/>
      <c r="AI155" s="1520"/>
      <c r="AJ155" s="1522"/>
      <c r="AK155" s="1524"/>
      <c r="AL155" s="1513"/>
      <c r="AM155" s="1515"/>
      <c r="AN155" s="1334"/>
      <c r="AO155" s="1516"/>
      <c r="AP155" s="1334"/>
      <c r="AQ155" s="1482"/>
      <c r="AR155" s="1485"/>
      <c r="AS155" s="1483" t="str">
        <f t="shared" ref="AS155" si="239">IF(AU156="","",IF(OR(AA156="",AA156&lt;&gt;7,AC156="",AC156&lt;&gt;3),"！算定期間の終わりが令和７年３月になっていません。年度内の廃止予定等がなければ、算定対象月を令和７年３月にしてください。",""))</f>
        <v/>
      </c>
      <c r="AT155" s="577"/>
      <c r="AU155" s="1303"/>
      <c r="AV155" s="1304" t="str">
        <f>IF('別紙様式2-2（４・５月分）'!N120="","",'別紙様式2-2（４・５月分）'!N120)</f>
        <v/>
      </c>
      <c r="AW155" s="1305"/>
      <c r="AX155" s="1474"/>
      <c r="AY155" s="430"/>
      <c r="BD155" s="340"/>
      <c r="BE155" s="1303" t="str">
        <f>G154</f>
        <v/>
      </c>
      <c r="BF155" s="1303"/>
      <c r="BG155" s="1303"/>
    </row>
    <row r="156" spans="1:59" ht="15" customHeight="1">
      <c r="A156" s="1295"/>
      <c r="B156" s="1235"/>
      <c r="C156" s="1236"/>
      <c r="D156" s="1236"/>
      <c r="E156" s="1236"/>
      <c r="F156" s="1237"/>
      <c r="G156" s="1252"/>
      <c r="H156" s="1252"/>
      <c r="I156" s="1252"/>
      <c r="J156" s="1415"/>
      <c r="K156" s="1252"/>
      <c r="L156" s="1421"/>
      <c r="M156" s="1372"/>
      <c r="N156" s="1393"/>
      <c r="O156" s="1373" t="s">
        <v>2025</v>
      </c>
      <c r="P156" s="1425" t="str">
        <f>IFERROR(VLOOKUP('別紙様式2-2（４・５月分）'!AQ119,【参考】数式用!$AR$5:$AT$22,3,FALSE),"")</f>
        <v/>
      </c>
      <c r="Q156" s="1377" t="s">
        <v>2036</v>
      </c>
      <c r="R156" s="1508" t="str">
        <f>IFERROR(VLOOKUP(K154,【参考】数式用!$A$5:$AB$37,MATCH(P156,【参考】数式用!$B$4:$AB$4,0)+1,0),"")</f>
        <v/>
      </c>
      <c r="S156" s="1381" t="s">
        <v>2109</v>
      </c>
      <c r="T156" s="1510"/>
      <c r="U156" s="1506" t="str">
        <f>IFERROR(VLOOKUP(K154,【参考】数式用!$A$5:$AB$37,MATCH(T156,【参考】数式用!$B$4:$AB$4,0)+1,0),"")</f>
        <v/>
      </c>
      <c r="V156" s="1387" t="s">
        <v>15</v>
      </c>
      <c r="W156" s="1504"/>
      <c r="X156" s="1363" t="s">
        <v>10</v>
      </c>
      <c r="Y156" s="1504"/>
      <c r="Z156" s="1363" t="s">
        <v>38</v>
      </c>
      <c r="AA156" s="1504"/>
      <c r="AB156" s="1363" t="s">
        <v>10</v>
      </c>
      <c r="AC156" s="1504"/>
      <c r="AD156" s="1363" t="s">
        <v>2020</v>
      </c>
      <c r="AE156" s="1363" t="s">
        <v>20</v>
      </c>
      <c r="AF156" s="1363" t="str">
        <f>IF(W156&gt;=1,(AA156*12+AC156)-(W156*12+Y156)+1,"")</f>
        <v/>
      </c>
      <c r="AG156" s="1359" t="s">
        <v>33</v>
      </c>
      <c r="AH156" s="1365" t="str">
        <f t="shared" ref="AH156" si="240">IFERROR(ROUNDDOWN(ROUND(L154*U156,0),0)*AF156,"")</f>
        <v/>
      </c>
      <c r="AI156" s="1498" t="str">
        <f t="shared" ref="AI156" si="241">IFERROR(ROUNDDOWN(ROUND((L154*(U156-AW154)),0),0)*AF156,"")</f>
        <v/>
      </c>
      <c r="AJ156" s="1369" t="str">
        <f>IFERROR(ROUNDDOWN(ROUNDDOWN(ROUND(L154*VLOOKUP(K154,【参考】数式用!$A$5:$AB$27,MATCH("新加算Ⅳ",【参考】数式用!$B$4:$AB$4,0)+1,0),0),0)*AF156*0.5,0),"")</f>
        <v/>
      </c>
      <c r="AK156" s="1500"/>
      <c r="AL156" s="1502" t="str">
        <f>IFERROR(IF('別紙様式2-2（４・５月分）'!P156="ベア加算","", IF(OR(T156="新加算Ⅰ",T156="新加算Ⅱ",T156="新加算Ⅲ",T156="新加算Ⅳ"),ROUNDDOWN(ROUND(L154*VLOOKUP(K154,【参考】数式用!$A$5:$I$27,MATCH("ベア加算",【参考】数式用!$B$4:$I$4,0)+1,0),0),0)*AF156,"")),"")</f>
        <v/>
      </c>
      <c r="AM156" s="1494"/>
      <c r="AN156" s="1475"/>
      <c r="AO156" s="1496"/>
      <c r="AP156" s="1475"/>
      <c r="AQ156" s="1477"/>
      <c r="AR156" s="1479"/>
      <c r="AS156" s="1483"/>
      <c r="AT156" s="451"/>
      <c r="AU156" s="1303" t="str">
        <f>IF(AND(AA154&lt;&gt;7,AC154&lt;&gt;3),"V列に色付け","")</f>
        <v/>
      </c>
      <c r="AV156" s="1304"/>
      <c r="AW156" s="1305"/>
      <c r="AX156" s="574"/>
      <c r="AY156" s="1222" t="str">
        <f>IF(AL156&lt;&gt;"",IF(AM156="○","入力済","未入力"),"")</f>
        <v/>
      </c>
      <c r="AZ156" s="1222"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2" t="str">
        <f>IF(OR(T156="新加算Ⅴ（７）",T156="新加算Ⅴ（９）",T156="新加算Ⅴ（10）",T156="新加算Ⅴ（12）",T156="新加算Ⅴ（13）",T156="新加算Ⅴ（14）"),IF(OR(AO156="○",AO156="令和６年度中に満たす"),"入力済","未入力"),"")</f>
        <v/>
      </c>
      <c r="BB156" s="1222" t="str">
        <f>IF(OR(T156="新加算Ⅰ",T156="新加算Ⅱ",T156="新加算Ⅲ",T156="新加算Ⅴ（１）",T156="新加算Ⅴ（３）",T156="新加算Ⅴ（８）"),IF(OR(AP156="○",AP156="令和６年度中に満たす"),"入力済","未入力"),"")</f>
        <v/>
      </c>
      <c r="BC156" s="1472"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03" t="str">
        <f>IF(OR(T156="新加算Ⅰ",T156="新加算Ⅴ（１）",T156="新加算Ⅴ（２）",T156="新加算Ⅴ（５）",T156="新加算Ⅴ（７）",T156="新加算Ⅴ（10）"),IF(AR156="","未入力","入力済"),"")</f>
        <v/>
      </c>
      <c r="BE156" s="1303" t="str">
        <f>G154</f>
        <v/>
      </c>
      <c r="BF156" s="1303"/>
      <c r="BG156" s="1303"/>
    </row>
    <row r="157" spans="1:59" ht="30" customHeight="1" thickBot="1">
      <c r="A157" s="1268"/>
      <c r="B157" s="1411"/>
      <c r="C157" s="1412"/>
      <c r="D157" s="1412"/>
      <c r="E157" s="1412"/>
      <c r="F157" s="1413"/>
      <c r="G157" s="1253"/>
      <c r="H157" s="1253"/>
      <c r="I157" s="1253"/>
      <c r="J157" s="1416"/>
      <c r="K157" s="1253"/>
      <c r="L157" s="1422"/>
      <c r="M157" s="553" t="str">
        <f>IF('別紙様式2-2（４・５月分）'!P121="","",'別紙様式2-2（４・５月分）'!P121)</f>
        <v/>
      </c>
      <c r="N157" s="1394"/>
      <c r="O157" s="1374"/>
      <c r="P157" s="1426"/>
      <c r="Q157" s="1378"/>
      <c r="R157" s="1509"/>
      <c r="S157" s="1382"/>
      <c r="T157" s="1511"/>
      <c r="U157" s="1507"/>
      <c r="V157" s="1388"/>
      <c r="W157" s="1505"/>
      <c r="X157" s="1364"/>
      <c r="Y157" s="1505"/>
      <c r="Z157" s="1364"/>
      <c r="AA157" s="1505"/>
      <c r="AB157" s="1364"/>
      <c r="AC157" s="1505"/>
      <c r="AD157" s="1364"/>
      <c r="AE157" s="1364"/>
      <c r="AF157" s="1364"/>
      <c r="AG157" s="1360"/>
      <c r="AH157" s="1366"/>
      <c r="AI157" s="1499"/>
      <c r="AJ157" s="1370"/>
      <c r="AK157" s="1501"/>
      <c r="AL157" s="1503"/>
      <c r="AM157" s="1495"/>
      <c r="AN157" s="1476"/>
      <c r="AO157" s="1497"/>
      <c r="AP157" s="1476"/>
      <c r="AQ157" s="1478"/>
      <c r="AR157" s="1480"/>
      <c r="AS157" s="575"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1"/>
      <c r="AU157" s="1303"/>
      <c r="AV157" s="555" t="str">
        <f>IF('別紙様式2-2（４・５月分）'!N121="","",'別紙様式2-2（４・５月分）'!N121)</f>
        <v/>
      </c>
      <c r="AW157" s="1305"/>
      <c r="AX157" s="576"/>
      <c r="AY157" s="1222" t="str">
        <f>IF(OR(T157="新加算Ⅰ",T157="新加算Ⅱ",T157="新加算Ⅲ",T157="新加算Ⅳ",T157="新加算Ⅴ（１）",T157="新加算Ⅴ（２）",T157="新加算Ⅴ（３）",T157="新加算ⅠⅤ（４）",T157="新加算Ⅴ（５）",T157="新加算Ⅴ（６）",T157="新加算Ⅴ（８）",T157="新加算Ⅴ（11）"),IF(AI157="○","","未入力"),"")</f>
        <v/>
      </c>
      <c r="AZ157" s="1222" t="str">
        <f>IF(OR(U157="新加算Ⅰ",U157="新加算Ⅱ",U157="新加算Ⅲ",U157="新加算Ⅳ",U157="新加算Ⅴ（１）",U157="新加算Ⅴ（２）",U157="新加算Ⅴ（３）",U157="新加算ⅠⅤ（４）",U157="新加算Ⅴ（５）",U157="新加算Ⅴ（６）",U157="新加算Ⅴ（８）",U157="新加算Ⅴ（11）"),IF(AJ157="○","","未入力"),"")</f>
        <v/>
      </c>
      <c r="BA157" s="1222" t="str">
        <f>IF(OR(U157="新加算Ⅴ（７）",U157="新加算Ⅴ（９）",U157="新加算Ⅴ（10）",U157="新加算Ⅴ（12）",U157="新加算Ⅴ（13）",U157="新加算Ⅴ（14）"),IF(AK157="○","","未入力"),"")</f>
        <v/>
      </c>
      <c r="BB157" s="1222" t="str">
        <f>IF(OR(U157="新加算Ⅰ",U157="新加算Ⅱ",U157="新加算Ⅲ",U157="新加算Ⅴ（１）",U157="新加算Ⅴ（３）",U157="新加算Ⅴ（８）"),IF(AL157="○","","未入力"),"")</f>
        <v/>
      </c>
      <c r="BC157" s="1472"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03" t="str">
        <f>IF(AND(T157&lt;&gt;"（参考）令和７年度の移行予定",OR(U157="新加算Ⅰ",U157="新加算Ⅴ（１）",U157="新加算Ⅴ（２）",U157="新加算Ⅴ（５）",U157="新加算Ⅴ（７）",U157="新加算Ⅴ（10）")),IF(AN157="","未入力",IF(AN157="いずれも取得していない","要件を満たさない","")),"")</f>
        <v/>
      </c>
      <c r="BE157" s="1303" t="str">
        <f>G154</f>
        <v/>
      </c>
      <c r="BF157" s="1303"/>
      <c r="BG157" s="1303"/>
    </row>
    <row r="158" spans="1:59" ht="30" customHeight="1">
      <c r="A158" s="1266">
        <v>37</v>
      </c>
      <c r="B158" s="1235" t="str">
        <f>IF(基本情報入力シート!C90="","",基本情報入力シート!C90)</f>
        <v/>
      </c>
      <c r="C158" s="1236"/>
      <c r="D158" s="1236"/>
      <c r="E158" s="1236"/>
      <c r="F158" s="1237"/>
      <c r="G158" s="1252" t="str">
        <f>IF(基本情報入力シート!M90="","",基本情報入力シート!M90)</f>
        <v/>
      </c>
      <c r="H158" s="1252" t="str">
        <f>IF(基本情報入力シート!R90="","",基本情報入力シート!R90)</f>
        <v/>
      </c>
      <c r="I158" s="1252" t="str">
        <f>IF(基本情報入力シート!W90="","",基本情報入力シート!W90)</f>
        <v/>
      </c>
      <c r="J158" s="1415" t="str">
        <f>IF(基本情報入力シート!X90="","",基本情報入力シート!X90)</f>
        <v/>
      </c>
      <c r="K158" s="1252" t="str">
        <f>IF(基本情報入力シート!Y90="","",基本情報入力シート!Y90)</f>
        <v/>
      </c>
      <c r="L158" s="1421" t="str">
        <f>IF(基本情報入力シート!AB90="","",基本情報入力シート!AB90)</f>
        <v/>
      </c>
      <c r="M158" s="550" t="str">
        <f>IF('別紙様式2-2（４・５月分）'!P122="","",'別紙様式2-2（４・５月分）'!P122)</f>
        <v/>
      </c>
      <c r="N158" s="1391" t="str">
        <f>IF(SUM('別紙様式2-2（４・５月分）'!Q122:Q124)=0,"",SUM('別紙様式2-2（４・５月分）'!Q122:Q124))</f>
        <v/>
      </c>
      <c r="O158" s="1395" t="str">
        <f>IFERROR(VLOOKUP('別紙様式2-2（４・５月分）'!AQ122,【参考】数式用!$AR$5:$AS$22,2,FALSE),"")</f>
        <v/>
      </c>
      <c r="P158" s="1396"/>
      <c r="Q158" s="1397"/>
      <c r="R158" s="1531" t="str">
        <f>IFERROR(VLOOKUP(K158,【参考】数式用!$A$5:$AB$37,MATCH(O158,【参考】数式用!$B$4:$AB$4,0)+1,0),"")</f>
        <v/>
      </c>
      <c r="S158" s="1403" t="s">
        <v>2102</v>
      </c>
      <c r="T158" s="1527" t="str">
        <f>IF('別紙様式2-3（６月以降分）'!T158="","",'別紙様式2-3（６月以降分）'!T158)</f>
        <v/>
      </c>
      <c r="U158" s="1529" t="str">
        <f>IFERROR(VLOOKUP(K158,【参考】数式用!$A$5:$AB$37,MATCH(T158,【参考】数式用!$B$4:$AB$4,0)+1,0),"")</f>
        <v/>
      </c>
      <c r="V158" s="1409" t="s">
        <v>15</v>
      </c>
      <c r="W158" s="1525">
        <f>'別紙様式2-3（６月以降分）'!W158</f>
        <v>6</v>
      </c>
      <c r="X158" s="1349" t="s">
        <v>10</v>
      </c>
      <c r="Y158" s="1525">
        <f>'別紙様式2-3（６月以降分）'!Y158</f>
        <v>6</v>
      </c>
      <c r="Z158" s="1349" t="s">
        <v>38</v>
      </c>
      <c r="AA158" s="1525">
        <f>'別紙様式2-3（６月以降分）'!AA158</f>
        <v>7</v>
      </c>
      <c r="AB158" s="1349" t="s">
        <v>10</v>
      </c>
      <c r="AC158" s="1525">
        <f>'別紙様式2-3（６月以降分）'!AC158</f>
        <v>3</v>
      </c>
      <c r="AD158" s="1349" t="s">
        <v>2020</v>
      </c>
      <c r="AE158" s="1349" t="s">
        <v>20</v>
      </c>
      <c r="AF158" s="1349">
        <f>IF(W158&gt;=1,(AA158*12+AC158)-(W158*12+Y158)+1,"")</f>
        <v>10</v>
      </c>
      <c r="AG158" s="1351" t="s">
        <v>33</v>
      </c>
      <c r="AH158" s="1517" t="str">
        <f>'別紙様式2-3（６月以降分）'!AH158</f>
        <v/>
      </c>
      <c r="AI158" s="1519" t="str">
        <f>'別紙様式2-3（６月以降分）'!AI158</f>
        <v/>
      </c>
      <c r="AJ158" s="1521">
        <f>'別紙様式2-3（６月以降分）'!AJ158</f>
        <v>0</v>
      </c>
      <c r="AK158" s="1523" t="str">
        <f>IF('別紙様式2-3（６月以降分）'!AK158="","",'別紙様式2-3（６月以降分）'!AK158)</f>
        <v/>
      </c>
      <c r="AL158" s="1512">
        <f>'別紙様式2-3（６月以降分）'!AL158</f>
        <v>0</v>
      </c>
      <c r="AM158" s="1514" t="str">
        <f>IF('別紙様式2-3（６月以降分）'!AM158="","",'別紙様式2-3（６月以降分）'!AM158)</f>
        <v/>
      </c>
      <c r="AN158" s="1333" t="str">
        <f>IF('別紙様式2-3（６月以降分）'!AN158="","",'別紙様式2-3（６月以降分）'!AN158)</f>
        <v/>
      </c>
      <c r="AO158" s="1331" t="str">
        <f>IF('別紙様式2-3（６月以降分）'!AO158="","",'別紙様式2-3（６月以降分）'!AO158)</f>
        <v/>
      </c>
      <c r="AP158" s="1333" t="str">
        <f>IF('別紙様式2-3（６月以降分）'!AP158="","",'別紙様式2-3（６月以降分）'!AP158)</f>
        <v/>
      </c>
      <c r="AQ158" s="1481" t="str">
        <f>IF('別紙様式2-3（６月以降分）'!AQ158="","",'別紙様式2-3（６月以降分）'!AQ158)</f>
        <v/>
      </c>
      <c r="AR158" s="1484" t="str">
        <f>IF('別紙様式2-3（６月以降分）'!AR158="","",'別紙様式2-3（６月以降分）'!AR158)</f>
        <v/>
      </c>
      <c r="AS158" s="570" t="str">
        <f t="shared" ref="AS158" si="245">IF(AU160="","",IF(U160&lt;U158,"！加算の要件上は問題ありませんが、令和６年度当初の新加算の加算率と比較して、移行後の加算率が下がる計画になっています。",""))</f>
        <v/>
      </c>
      <c r="AT158" s="577"/>
      <c r="AU158" s="1301"/>
      <c r="AV158" s="555" t="str">
        <f>IF('別紙様式2-2（４・５月分）'!N122="","",'別紙様式2-2（４・５月分）'!N122)</f>
        <v/>
      </c>
      <c r="AW158" s="1305" t="str">
        <f>IF(SUM('別紙様式2-2（４・５月分）'!O122:O124)=0,"",SUM('別紙様式2-2（４・５月分）'!O122:O124))</f>
        <v/>
      </c>
      <c r="AX158" s="1473" t="str">
        <f>IFERROR(VLOOKUP(K158,【参考】数式用!$AH$2:$AI$34,2,FALSE),"")</f>
        <v/>
      </c>
      <c r="AY158" s="493"/>
      <c r="BD158" s="340"/>
      <c r="BE158" s="1303" t="str">
        <f>G158</f>
        <v/>
      </c>
      <c r="BF158" s="1303"/>
      <c r="BG158" s="1303"/>
    </row>
    <row r="159" spans="1:59" ht="15" customHeight="1">
      <c r="A159" s="1267"/>
      <c r="B159" s="1235"/>
      <c r="C159" s="1236"/>
      <c r="D159" s="1236"/>
      <c r="E159" s="1236"/>
      <c r="F159" s="1237"/>
      <c r="G159" s="1252"/>
      <c r="H159" s="1252"/>
      <c r="I159" s="1252"/>
      <c r="J159" s="1415"/>
      <c r="K159" s="1252"/>
      <c r="L159" s="1421"/>
      <c r="M159" s="1371" t="str">
        <f>IF('別紙様式2-2（４・５月分）'!P123="","",'別紙様式2-2（４・５月分）'!P123)</f>
        <v/>
      </c>
      <c r="N159" s="1392"/>
      <c r="O159" s="1398"/>
      <c r="P159" s="1399"/>
      <c r="Q159" s="1400"/>
      <c r="R159" s="1532"/>
      <c r="S159" s="1404"/>
      <c r="T159" s="1528"/>
      <c r="U159" s="1530"/>
      <c r="V159" s="1410"/>
      <c r="W159" s="1526"/>
      <c r="X159" s="1350"/>
      <c r="Y159" s="1526"/>
      <c r="Z159" s="1350"/>
      <c r="AA159" s="1526"/>
      <c r="AB159" s="1350"/>
      <c r="AC159" s="1526"/>
      <c r="AD159" s="1350"/>
      <c r="AE159" s="1350"/>
      <c r="AF159" s="1350"/>
      <c r="AG159" s="1352"/>
      <c r="AH159" s="1518"/>
      <c r="AI159" s="1520"/>
      <c r="AJ159" s="1522"/>
      <c r="AK159" s="1524"/>
      <c r="AL159" s="1513"/>
      <c r="AM159" s="1515"/>
      <c r="AN159" s="1334"/>
      <c r="AO159" s="1516"/>
      <c r="AP159" s="1334"/>
      <c r="AQ159" s="1482"/>
      <c r="AR159" s="1485"/>
      <c r="AS159" s="1483" t="str">
        <f t="shared" ref="AS159" si="246">IF(AU160="","",IF(OR(AA160="",AA160&lt;&gt;7,AC160="",AC160&lt;&gt;3),"！算定期間の終わりが令和７年３月になっていません。年度内の廃止予定等がなければ、算定対象月を令和７年３月にしてください。",""))</f>
        <v/>
      </c>
      <c r="AT159" s="577"/>
      <c r="AU159" s="1303"/>
      <c r="AV159" s="1304" t="str">
        <f>IF('別紙様式2-2（４・５月分）'!N123="","",'別紙様式2-2（４・５月分）'!N123)</f>
        <v/>
      </c>
      <c r="AW159" s="1305"/>
      <c r="AX159" s="1474"/>
      <c r="AY159" s="430"/>
      <c r="BD159" s="340"/>
      <c r="BE159" s="1303" t="str">
        <f>G158</f>
        <v/>
      </c>
      <c r="BF159" s="1303"/>
      <c r="BG159" s="1303"/>
    </row>
    <row r="160" spans="1:59" ht="15" customHeight="1">
      <c r="A160" s="1295"/>
      <c r="B160" s="1235"/>
      <c r="C160" s="1236"/>
      <c r="D160" s="1236"/>
      <c r="E160" s="1236"/>
      <c r="F160" s="1237"/>
      <c r="G160" s="1252"/>
      <c r="H160" s="1252"/>
      <c r="I160" s="1252"/>
      <c r="J160" s="1415"/>
      <c r="K160" s="1252"/>
      <c r="L160" s="1421"/>
      <c r="M160" s="1372"/>
      <c r="N160" s="1393"/>
      <c r="O160" s="1373" t="s">
        <v>2025</v>
      </c>
      <c r="P160" s="1425" t="str">
        <f>IFERROR(VLOOKUP('別紙様式2-2（４・５月分）'!AQ122,【参考】数式用!$AR$5:$AT$22,3,FALSE),"")</f>
        <v/>
      </c>
      <c r="Q160" s="1377" t="s">
        <v>2036</v>
      </c>
      <c r="R160" s="1508" t="str">
        <f>IFERROR(VLOOKUP(K158,【参考】数式用!$A$5:$AB$37,MATCH(P160,【参考】数式用!$B$4:$AB$4,0)+1,0),"")</f>
        <v/>
      </c>
      <c r="S160" s="1381" t="s">
        <v>2109</v>
      </c>
      <c r="T160" s="1510"/>
      <c r="U160" s="1506" t="str">
        <f>IFERROR(VLOOKUP(K158,【参考】数式用!$A$5:$AB$37,MATCH(T160,【参考】数式用!$B$4:$AB$4,0)+1,0),"")</f>
        <v/>
      </c>
      <c r="V160" s="1387" t="s">
        <v>15</v>
      </c>
      <c r="W160" s="1504"/>
      <c r="X160" s="1363" t="s">
        <v>10</v>
      </c>
      <c r="Y160" s="1504"/>
      <c r="Z160" s="1363" t="s">
        <v>38</v>
      </c>
      <c r="AA160" s="1504"/>
      <c r="AB160" s="1363" t="s">
        <v>10</v>
      </c>
      <c r="AC160" s="1504"/>
      <c r="AD160" s="1363" t="s">
        <v>2020</v>
      </c>
      <c r="AE160" s="1363" t="s">
        <v>20</v>
      </c>
      <c r="AF160" s="1363" t="str">
        <f>IF(W160&gt;=1,(AA160*12+AC160)-(W160*12+Y160)+1,"")</f>
        <v/>
      </c>
      <c r="AG160" s="1359" t="s">
        <v>33</v>
      </c>
      <c r="AH160" s="1365" t="str">
        <f t="shared" ref="AH160" si="247">IFERROR(ROUNDDOWN(ROUND(L158*U160,0),0)*AF160,"")</f>
        <v/>
      </c>
      <c r="AI160" s="1498" t="str">
        <f t="shared" ref="AI160" si="248">IFERROR(ROUNDDOWN(ROUND((L158*(U160-AW158)),0),0)*AF160,"")</f>
        <v/>
      </c>
      <c r="AJ160" s="1369" t="str">
        <f>IFERROR(ROUNDDOWN(ROUNDDOWN(ROUND(L158*VLOOKUP(K158,【参考】数式用!$A$5:$AB$27,MATCH("新加算Ⅳ",【参考】数式用!$B$4:$AB$4,0)+1,0),0),0)*AF160*0.5,0),"")</f>
        <v/>
      </c>
      <c r="AK160" s="1500"/>
      <c r="AL160" s="1502" t="str">
        <f>IFERROR(IF('別紙様式2-2（４・５月分）'!P160="ベア加算","", IF(OR(T160="新加算Ⅰ",T160="新加算Ⅱ",T160="新加算Ⅲ",T160="新加算Ⅳ"),ROUNDDOWN(ROUND(L158*VLOOKUP(K158,【参考】数式用!$A$5:$I$27,MATCH("ベア加算",【参考】数式用!$B$4:$I$4,0)+1,0),0),0)*AF160,"")),"")</f>
        <v/>
      </c>
      <c r="AM160" s="1494"/>
      <c r="AN160" s="1475"/>
      <c r="AO160" s="1496"/>
      <c r="AP160" s="1475"/>
      <c r="AQ160" s="1477"/>
      <c r="AR160" s="1479"/>
      <c r="AS160" s="1483"/>
      <c r="AT160" s="451"/>
      <c r="AU160" s="1303" t="str">
        <f>IF(AND(AA158&lt;&gt;7,AC158&lt;&gt;3),"V列に色付け","")</f>
        <v/>
      </c>
      <c r="AV160" s="1304"/>
      <c r="AW160" s="1305"/>
      <c r="AX160" s="574"/>
      <c r="AY160" s="1222" t="str">
        <f>IF(AL160&lt;&gt;"",IF(AM160="○","入力済","未入力"),"")</f>
        <v/>
      </c>
      <c r="AZ160" s="1222"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2" t="str">
        <f>IF(OR(T160="新加算Ⅴ（７）",T160="新加算Ⅴ（９）",T160="新加算Ⅴ（10）",T160="新加算Ⅴ（12）",T160="新加算Ⅴ（13）",T160="新加算Ⅴ（14）"),IF(OR(AO160="○",AO160="令和６年度中に満たす"),"入力済","未入力"),"")</f>
        <v/>
      </c>
      <c r="BB160" s="1222" t="str">
        <f>IF(OR(T160="新加算Ⅰ",T160="新加算Ⅱ",T160="新加算Ⅲ",T160="新加算Ⅴ（１）",T160="新加算Ⅴ（３）",T160="新加算Ⅴ（８）"),IF(OR(AP160="○",AP160="令和６年度中に満たす"),"入力済","未入力"),"")</f>
        <v/>
      </c>
      <c r="BC160" s="1472"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03" t="str">
        <f>IF(OR(T160="新加算Ⅰ",T160="新加算Ⅴ（１）",T160="新加算Ⅴ（２）",T160="新加算Ⅴ（５）",T160="新加算Ⅴ（７）",T160="新加算Ⅴ（10）"),IF(AR160="","未入力","入力済"),"")</f>
        <v/>
      </c>
      <c r="BE160" s="1303" t="str">
        <f>G158</f>
        <v/>
      </c>
      <c r="BF160" s="1303"/>
      <c r="BG160" s="1303"/>
    </row>
    <row r="161" spans="1:59" ht="30" customHeight="1" thickBot="1">
      <c r="A161" s="1268"/>
      <c r="B161" s="1411"/>
      <c r="C161" s="1412"/>
      <c r="D161" s="1412"/>
      <c r="E161" s="1412"/>
      <c r="F161" s="1413"/>
      <c r="G161" s="1253"/>
      <c r="H161" s="1253"/>
      <c r="I161" s="1253"/>
      <c r="J161" s="1416"/>
      <c r="K161" s="1253"/>
      <c r="L161" s="1422"/>
      <c r="M161" s="553" t="str">
        <f>IF('別紙様式2-2（４・５月分）'!P124="","",'別紙様式2-2（４・５月分）'!P124)</f>
        <v/>
      </c>
      <c r="N161" s="1394"/>
      <c r="O161" s="1374"/>
      <c r="P161" s="1426"/>
      <c r="Q161" s="1378"/>
      <c r="R161" s="1509"/>
      <c r="S161" s="1382"/>
      <c r="T161" s="1511"/>
      <c r="U161" s="1507"/>
      <c r="V161" s="1388"/>
      <c r="W161" s="1505"/>
      <c r="X161" s="1364"/>
      <c r="Y161" s="1505"/>
      <c r="Z161" s="1364"/>
      <c r="AA161" s="1505"/>
      <c r="AB161" s="1364"/>
      <c r="AC161" s="1505"/>
      <c r="AD161" s="1364"/>
      <c r="AE161" s="1364"/>
      <c r="AF161" s="1364"/>
      <c r="AG161" s="1360"/>
      <c r="AH161" s="1366"/>
      <c r="AI161" s="1499"/>
      <c r="AJ161" s="1370"/>
      <c r="AK161" s="1501"/>
      <c r="AL161" s="1503"/>
      <c r="AM161" s="1495"/>
      <c r="AN161" s="1476"/>
      <c r="AO161" s="1497"/>
      <c r="AP161" s="1476"/>
      <c r="AQ161" s="1478"/>
      <c r="AR161" s="1480"/>
      <c r="AS161" s="575"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1"/>
      <c r="AU161" s="1303"/>
      <c r="AV161" s="555" t="str">
        <f>IF('別紙様式2-2（４・５月分）'!N124="","",'別紙様式2-2（４・５月分）'!N124)</f>
        <v/>
      </c>
      <c r="AW161" s="1305"/>
      <c r="AX161" s="576"/>
      <c r="AY161" s="1222" t="str">
        <f>IF(OR(T161="新加算Ⅰ",T161="新加算Ⅱ",T161="新加算Ⅲ",T161="新加算Ⅳ",T161="新加算Ⅴ（１）",T161="新加算Ⅴ（２）",T161="新加算Ⅴ（３）",T161="新加算ⅠⅤ（４）",T161="新加算Ⅴ（５）",T161="新加算Ⅴ（６）",T161="新加算Ⅴ（８）",T161="新加算Ⅴ（11）"),IF(AI161="○","","未入力"),"")</f>
        <v/>
      </c>
      <c r="AZ161" s="1222" t="str">
        <f>IF(OR(U161="新加算Ⅰ",U161="新加算Ⅱ",U161="新加算Ⅲ",U161="新加算Ⅳ",U161="新加算Ⅴ（１）",U161="新加算Ⅴ（２）",U161="新加算Ⅴ（３）",U161="新加算ⅠⅤ（４）",U161="新加算Ⅴ（５）",U161="新加算Ⅴ（６）",U161="新加算Ⅴ（８）",U161="新加算Ⅴ（11）"),IF(AJ161="○","","未入力"),"")</f>
        <v/>
      </c>
      <c r="BA161" s="1222" t="str">
        <f>IF(OR(U161="新加算Ⅴ（７）",U161="新加算Ⅴ（９）",U161="新加算Ⅴ（10）",U161="新加算Ⅴ（12）",U161="新加算Ⅴ（13）",U161="新加算Ⅴ（14）"),IF(AK161="○","","未入力"),"")</f>
        <v/>
      </c>
      <c r="BB161" s="1222" t="str">
        <f>IF(OR(U161="新加算Ⅰ",U161="新加算Ⅱ",U161="新加算Ⅲ",U161="新加算Ⅴ（１）",U161="新加算Ⅴ（３）",U161="新加算Ⅴ（８）"),IF(AL161="○","","未入力"),"")</f>
        <v/>
      </c>
      <c r="BC161" s="1472"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03" t="str">
        <f>IF(AND(T161&lt;&gt;"（参考）令和７年度の移行予定",OR(U161="新加算Ⅰ",U161="新加算Ⅴ（１）",U161="新加算Ⅴ（２）",U161="新加算Ⅴ（５）",U161="新加算Ⅴ（７）",U161="新加算Ⅴ（10）")),IF(AN161="","未入力",IF(AN161="いずれも取得していない","要件を満たさない","")),"")</f>
        <v/>
      </c>
      <c r="BE161" s="1303" t="str">
        <f>G158</f>
        <v/>
      </c>
      <c r="BF161" s="1303"/>
      <c r="BG161" s="1303"/>
    </row>
    <row r="162" spans="1:59" ht="30" customHeight="1">
      <c r="A162" s="1293">
        <v>38</v>
      </c>
      <c r="B162" s="1232" t="str">
        <f>IF(基本情報入力シート!C91="","",基本情報入力シート!C91)</f>
        <v/>
      </c>
      <c r="C162" s="1233"/>
      <c r="D162" s="1233"/>
      <c r="E162" s="1233"/>
      <c r="F162" s="1234"/>
      <c r="G162" s="1251" t="str">
        <f>IF(基本情報入力シート!M91="","",基本情報入力シート!M91)</f>
        <v/>
      </c>
      <c r="H162" s="1251" t="str">
        <f>IF(基本情報入力シート!R91="","",基本情報入力シート!R91)</f>
        <v/>
      </c>
      <c r="I162" s="1251" t="str">
        <f>IF(基本情報入力シート!W91="","",基本情報入力シート!W91)</f>
        <v/>
      </c>
      <c r="J162" s="1414" t="str">
        <f>IF(基本情報入力シート!X91="","",基本情報入力シート!X91)</f>
        <v/>
      </c>
      <c r="K162" s="1251" t="str">
        <f>IF(基本情報入力シート!Y91="","",基本情報入力シート!Y91)</f>
        <v/>
      </c>
      <c r="L162" s="1427" t="str">
        <f>IF(基本情報入力シート!AB91="","",基本情報入力シート!AB91)</f>
        <v/>
      </c>
      <c r="M162" s="550" t="str">
        <f>IF('別紙様式2-2（４・５月分）'!P125="","",'別紙様式2-2（４・５月分）'!P125)</f>
        <v/>
      </c>
      <c r="N162" s="1391" t="str">
        <f>IF(SUM('別紙様式2-2（４・５月分）'!Q125:Q127)=0,"",SUM('別紙様式2-2（４・５月分）'!Q125:Q127))</f>
        <v/>
      </c>
      <c r="O162" s="1395" t="str">
        <f>IFERROR(VLOOKUP('別紙様式2-2（４・５月分）'!AQ125,【参考】数式用!$AR$5:$AS$22,2,FALSE),"")</f>
        <v/>
      </c>
      <c r="P162" s="1396"/>
      <c r="Q162" s="1397"/>
      <c r="R162" s="1531" t="str">
        <f>IFERROR(VLOOKUP(K162,【参考】数式用!$A$5:$AB$37,MATCH(O162,【参考】数式用!$B$4:$AB$4,0)+1,0),"")</f>
        <v/>
      </c>
      <c r="S162" s="1403" t="s">
        <v>2102</v>
      </c>
      <c r="T162" s="1527" t="str">
        <f>IF('別紙様式2-3（６月以降分）'!T162="","",'別紙様式2-3（６月以降分）'!T162)</f>
        <v/>
      </c>
      <c r="U162" s="1529" t="str">
        <f>IFERROR(VLOOKUP(K162,【参考】数式用!$A$5:$AB$37,MATCH(T162,【参考】数式用!$B$4:$AB$4,0)+1,0),"")</f>
        <v/>
      </c>
      <c r="V162" s="1409" t="s">
        <v>15</v>
      </c>
      <c r="W162" s="1525">
        <f>'別紙様式2-3（６月以降分）'!W162</f>
        <v>6</v>
      </c>
      <c r="X162" s="1349" t="s">
        <v>10</v>
      </c>
      <c r="Y162" s="1525">
        <f>'別紙様式2-3（６月以降分）'!Y162</f>
        <v>6</v>
      </c>
      <c r="Z162" s="1349" t="s">
        <v>38</v>
      </c>
      <c r="AA162" s="1525">
        <f>'別紙様式2-3（６月以降分）'!AA162</f>
        <v>7</v>
      </c>
      <c r="AB162" s="1349" t="s">
        <v>10</v>
      </c>
      <c r="AC162" s="1525">
        <f>'別紙様式2-3（６月以降分）'!AC162</f>
        <v>3</v>
      </c>
      <c r="AD162" s="1349" t="s">
        <v>2020</v>
      </c>
      <c r="AE162" s="1349" t="s">
        <v>20</v>
      </c>
      <c r="AF162" s="1349">
        <f>IF(W162&gt;=1,(AA162*12+AC162)-(W162*12+Y162)+1,"")</f>
        <v>10</v>
      </c>
      <c r="AG162" s="1351" t="s">
        <v>33</v>
      </c>
      <c r="AH162" s="1517" t="str">
        <f>'別紙様式2-3（６月以降分）'!AH162</f>
        <v/>
      </c>
      <c r="AI162" s="1519" t="str">
        <f>'別紙様式2-3（６月以降分）'!AI162</f>
        <v/>
      </c>
      <c r="AJ162" s="1521">
        <f>'別紙様式2-3（６月以降分）'!AJ162</f>
        <v>0</v>
      </c>
      <c r="AK162" s="1523" t="str">
        <f>IF('別紙様式2-3（６月以降分）'!AK162="","",'別紙様式2-3（６月以降分）'!AK162)</f>
        <v/>
      </c>
      <c r="AL162" s="1512">
        <f>'別紙様式2-3（６月以降分）'!AL162</f>
        <v>0</v>
      </c>
      <c r="AM162" s="1514" t="str">
        <f>IF('別紙様式2-3（６月以降分）'!AM162="","",'別紙様式2-3（６月以降分）'!AM162)</f>
        <v/>
      </c>
      <c r="AN162" s="1333" t="str">
        <f>IF('別紙様式2-3（６月以降分）'!AN162="","",'別紙様式2-3（６月以降分）'!AN162)</f>
        <v/>
      </c>
      <c r="AO162" s="1331" t="str">
        <f>IF('別紙様式2-3（６月以降分）'!AO162="","",'別紙様式2-3（６月以降分）'!AO162)</f>
        <v/>
      </c>
      <c r="AP162" s="1333" t="str">
        <f>IF('別紙様式2-3（６月以降分）'!AP162="","",'別紙様式2-3（６月以降分）'!AP162)</f>
        <v/>
      </c>
      <c r="AQ162" s="1481" t="str">
        <f>IF('別紙様式2-3（６月以降分）'!AQ162="","",'別紙様式2-3（６月以降分）'!AQ162)</f>
        <v/>
      </c>
      <c r="AR162" s="1484" t="str">
        <f>IF('別紙様式2-3（６月以降分）'!AR162="","",'別紙様式2-3（６月以降分）'!AR162)</f>
        <v/>
      </c>
      <c r="AS162" s="570" t="str">
        <f t="shared" ref="AS162" si="252">IF(AU164="","",IF(U164&lt;U162,"！加算の要件上は問題ありませんが、令和６年度当初の新加算の加算率と比較して、移行後の加算率が下がる計画になっています。",""))</f>
        <v/>
      </c>
      <c r="AT162" s="577"/>
      <c r="AU162" s="1301"/>
      <c r="AV162" s="555" t="str">
        <f>IF('別紙様式2-2（４・５月分）'!N125="","",'別紙様式2-2（４・５月分）'!N125)</f>
        <v/>
      </c>
      <c r="AW162" s="1305" t="str">
        <f>IF(SUM('別紙様式2-2（４・５月分）'!O125:O127)=0,"",SUM('別紙様式2-2（４・５月分）'!O125:O127))</f>
        <v/>
      </c>
      <c r="AX162" s="1473" t="str">
        <f>IFERROR(VLOOKUP(K162,【参考】数式用!$AH$2:$AI$34,2,FALSE),"")</f>
        <v/>
      </c>
      <c r="AY162" s="493"/>
      <c r="BD162" s="340"/>
      <c r="BE162" s="1303" t="str">
        <f>G162</f>
        <v/>
      </c>
      <c r="BF162" s="1303"/>
      <c r="BG162" s="1303"/>
    </row>
    <row r="163" spans="1:59" ht="15" customHeight="1">
      <c r="A163" s="1267"/>
      <c r="B163" s="1235"/>
      <c r="C163" s="1236"/>
      <c r="D163" s="1236"/>
      <c r="E163" s="1236"/>
      <c r="F163" s="1237"/>
      <c r="G163" s="1252"/>
      <c r="H163" s="1252"/>
      <c r="I163" s="1252"/>
      <c r="J163" s="1415"/>
      <c r="K163" s="1252"/>
      <c r="L163" s="1421"/>
      <c r="M163" s="1371" t="str">
        <f>IF('別紙様式2-2（４・５月分）'!P126="","",'別紙様式2-2（４・５月分）'!P126)</f>
        <v/>
      </c>
      <c r="N163" s="1392"/>
      <c r="O163" s="1398"/>
      <c r="P163" s="1399"/>
      <c r="Q163" s="1400"/>
      <c r="R163" s="1532"/>
      <c r="S163" s="1404"/>
      <c r="T163" s="1528"/>
      <c r="U163" s="1530"/>
      <c r="V163" s="1410"/>
      <c r="W163" s="1526"/>
      <c r="X163" s="1350"/>
      <c r="Y163" s="1526"/>
      <c r="Z163" s="1350"/>
      <c r="AA163" s="1526"/>
      <c r="AB163" s="1350"/>
      <c r="AC163" s="1526"/>
      <c r="AD163" s="1350"/>
      <c r="AE163" s="1350"/>
      <c r="AF163" s="1350"/>
      <c r="AG163" s="1352"/>
      <c r="AH163" s="1518"/>
      <c r="AI163" s="1520"/>
      <c r="AJ163" s="1522"/>
      <c r="AK163" s="1524"/>
      <c r="AL163" s="1513"/>
      <c r="AM163" s="1515"/>
      <c r="AN163" s="1334"/>
      <c r="AO163" s="1516"/>
      <c r="AP163" s="1334"/>
      <c r="AQ163" s="1482"/>
      <c r="AR163" s="1485"/>
      <c r="AS163" s="1483" t="str">
        <f t="shared" ref="AS163" si="253">IF(AU164="","",IF(OR(AA164="",AA164&lt;&gt;7,AC164="",AC164&lt;&gt;3),"！算定期間の終わりが令和７年３月になっていません。年度内の廃止予定等がなければ、算定対象月を令和７年３月にしてください。",""))</f>
        <v/>
      </c>
      <c r="AT163" s="577"/>
      <c r="AU163" s="1303"/>
      <c r="AV163" s="1304" t="str">
        <f>IF('別紙様式2-2（４・５月分）'!N126="","",'別紙様式2-2（４・５月分）'!N126)</f>
        <v/>
      </c>
      <c r="AW163" s="1305"/>
      <c r="AX163" s="1474"/>
      <c r="AY163" s="430"/>
      <c r="BD163" s="340"/>
      <c r="BE163" s="1303" t="str">
        <f>G162</f>
        <v/>
      </c>
      <c r="BF163" s="1303"/>
      <c r="BG163" s="1303"/>
    </row>
    <row r="164" spans="1:59" ht="15" customHeight="1">
      <c r="A164" s="1295"/>
      <c r="B164" s="1235"/>
      <c r="C164" s="1236"/>
      <c r="D164" s="1236"/>
      <c r="E164" s="1236"/>
      <c r="F164" s="1237"/>
      <c r="G164" s="1252"/>
      <c r="H164" s="1252"/>
      <c r="I164" s="1252"/>
      <c r="J164" s="1415"/>
      <c r="K164" s="1252"/>
      <c r="L164" s="1421"/>
      <c r="M164" s="1372"/>
      <c r="N164" s="1393"/>
      <c r="O164" s="1373" t="s">
        <v>2025</v>
      </c>
      <c r="P164" s="1425" t="str">
        <f>IFERROR(VLOOKUP('別紙様式2-2（４・５月分）'!AQ125,【参考】数式用!$AR$5:$AT$22,3,FALSE),"")</f>
        <v/>
      </c>
      <c r="Q164" s="1377" t="s">
        <v>2036</v>
      </c>
      <c r="R164" s="1508" t="str">
        <f>IFERROR(VLOOKUP(K162,【参考】数式用!$A$5:$AB$37,MATCH(P164,【参考】数式用!$B$4:$AB$4,0)+1,0),"")</f>
        <v/>
      </c>
      <c r="S164" s="1381" t="s">
        <v>2109</v>
      </c>
      <c r="T164" s="1510"/>
      <c r="U164" s="1506" t="str">
        <f>IFERROR(VLOOKUP(K162,【参考】数式用!$A$5:$AB$37,MATCH(T164,【参考】数式用!$B$4:$AB$4,0)+1,0),"")</f>
        <v/>
      </c>
      <c r="V164" s="1387" t="s">
        <v>15</v>
      </c>
      <c r="W164" s="1504"/>
      <c r="X164" s="1363" t="s">
        <v>10</v>
      </c>
      <c r="Y164" s="1504"/>
      <c r="Z164" s="1363" t="s">
        <v>38</v>
      </c>
      <c r="AA164" s="1504"/>
      <c r="AB164" s="1363" t="s">
        <v>10</v>
      </c>
      <c r="AC164" s="1504"/>
      <c r="AD164" s="1363" t="s">
        <v>2020</v>
      </c>
      <c r="AE164" s="1363" t="s">
        <v>20</v>
      </c>
      <c r="AF164" s="1363" t="str">
        <f>IF(W164&gt;=1,(AA164*12+AC164)-(W164*12+Y164)+1,"")</f>
        <v/>
      </c>
      <c r="AG164" s="1359" t="s">
        <v>33</v>
      </c>
      <c r="AH164" s="1365" t="str">
        <f t="shared" ref="AH164" si="254">IFERROR(ROUNDDOWN(ROUND(L162*U164,0),0)*AF164,"")</f>
        <v/>
      </c>
      <c r="AI164" s="1498" t="str">
        <f t="shared" ref="AI164" si="255">IFERROR(ROUNDDOWN(ROUND((L162*(U164-AW162)),0),0)*AF164,"")</f>
        <v/>
      </c>
      <c r="AJ164" s="1369" t="str">
        <f>IFERROR(ROUNDDOWN(ROUNDDOWN(ROUND(L162*VLOOKUP(K162,【参考】数式用!$A$5:$AB$27,MATCH("新加算Ⅳ",【参考】数式用!$B$4:$AB$4,0)+1,0),0),0)*AF164*0.5,0),"")</f>
        <v/>
      </c>
      <c r="AK164" s="1500"/>
      <c r="AL164" s="1502" t="str">
        <f>IFERROR(IF('別紙様式2-2（４・５月分）'!P164="ベア加算","", IF(OR(T164="新加算Ⅰ",T164="新加算Ⅱ",T164="新加算Ⅲ",T164="新加算Ⅳ"),ROUNDDOWN(ROUND(L162*VLOOKUP(K162,【参考】数式用!$A$5:$I$27,MATCH("ベア加算",【参考】数式用!$B$4:$I$4,0)+1,0),0),0)*AF164,"")),"")</f>
        <v/>
      </c>
      <c r="AM164" s="1494"/>
      <c r="AN164" s="1475"/>
      <c r="AO164" s="1496"/>
      <c r="AP164" s="1475"/>
      <c r="AQ164" s="1477"/>
      <c r="AR164" s="1479"/>
      <c r="AS164" s="1483"/>
      <c r="AT164" s="451"/>
      <c r="AU164" s="1303" t="str">
        <f>IF(AND(AA162&lt;&gt;7,AC162&lt;&gt;3),"V列に色付け","")</f>
        <v/>
      </c>
      <c r="AV164" s="1304"/>
      <c r="AW164" s="1305"/>
      <c r="AX164" s="574"/>
      <c r="AY164" s="1222" t="str">
        <f>IF(AL164&lt;&gt;"",IF(AM164="○","入力済","未入力"),"")</f>
        <v/>
      </c>
      <c r="AZ164" s="1222"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2" t="str">
        <f>IF(OR(T164="新加算Ⅴ（７）",T164="新加算Ⅴ（９）",T164="新加算Ⅴ（10）",T164="新加算Ⅴ（12）",T164="新加算Ⅴ（13）",T164="新加算Ⅴ（14）"),IF(OR(AO164="○",AO164="令和６年度中に満たす"),"入力済","未入力"),"")</f>
        <v/>
      </c>
      <c r="BB164" s="1222" t="str">
        <f>IF(OR(T164="新加算Ⅰ",T164="新加算Ⅱ",T164="新加算Ⅲ",T164="新加算Ⅴ（１）",T164="新加算Ⅴ（３）",T164="新加算Ⅴ（８）"),IF(OR(AP164="○",AP164="令和６年度中に満たす"),"入力済","未入力"),"")</f>
        <v/>
      </c>
      <c r="BC164" s="1472"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03" t="str">
        <f>IF(OR(T164="新加算Ⅰ",T164="新加算Ⅴ（１）",T164="新加算Ⅴ（２）",T164="新加算Ⅴ（５）",T164="新加算Ⅴ（７）",T164="新加算Ⅴ（10）"),IF(AR164="","未入力","入力済"),"")</f>
        <v/>
      </c>
      <c r="BE164" s="1303" t="str">
        <f>G162</f>
        <v/>
      </c>
      <c r="BF164" s="1303"/>
      <c r="BG164" s="1303"/>
    </row>
    <row r="165" spans="1:59" ht="30" customHeight="1" thickBot="1">
      <c r="A165" s="1268"/>
      <c r="B165" s="1411"/>
      <c r="C165" s="1412"/>
      <c r="D165" s="1412"/>
      <c r="E165" s="1412"/>
      <c r="F165" s="1413"/>
      <c r="G165" s="1253"/>
      <c r="H165" s="1253"/>
      <c r="I165" s="1253"/>
      <c r="J165" s="1416"/>
      <c r="K165" s="1253"/>
      <c r="L165" s="1422"/>
      <c r="M165" s="553" t="str">
        <f>IF('別紙様式2-2（４・５月分）'!P127="","",'別紙様式2-2（４・５月分）'!P127)</f>
        <v/>
      </c>
      <c r="N165" s="1394"/>
      <c r="O165" s="1374"/>
      <c r="P165" s="1426"/>
      <c r="Q165" s="1378"/>
      <c r="R165" s="1509"/>
      <c r="S165" s="1382"/>
      <c r="T165" s="1511"/>
      <c r="U165" s="1507"/>
      <c r="V165" s="1388"/>
      <c r="W165" s="1505"/>
      <c r="X165" s="1364"/>
      <c r="Y165" s="1505"/>
      <c r="Z165" s="1364"/>
      <c r="AA165" s="1505"/>
      <c r="AB165" s="1364"/>
      <c r="AC165" s="1505"/>
      <c r="AD165" s="1364"/>
      <c r="AE165" s="1364"/>
      <c r="AF165" s="1364"/>
      <c r="AG165" s="1360"/>
      <c r="AH165" s="1366"/>
      <c r="AI165" s="1499"/>
      <c r="AJ165" s="1370"/>
      <c r="AK165" s="1501"/>
      <c r="AL165" s="1503"/>
      <c r="AM165" s="1495"/>
      <c r="AN165" s="1476"/>
      <c r="AO165" s="1497"/>
      <c r="AP165" s="1476"/>
      <c r="AQ165" s="1478"/>
      <c r="AR165" s="1480"/>
      <c r="AS165" s="575"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1"/>
      <c r="AU165" s="1303"/>
      <c r="AV165" s="555" t="str">
        <f>IF('別紙様式2-2（４・５月分）'!N127="","",'別紙様式2-2（４・５月分）'!N127)</f>
        <v/>
      </c>
      <c r="AW165" s="1305"/>
      <c r="AX165" s="576"/>
      <c r="AY165" s="1222" t="str">
        <f>IF(OR(T165="新加算Ⅰ",T165="新加算Ⅱ",T165="新加算Ⅲ",T165="新加算Ⅳ",T165="新加算Ⅴ（１）",T165="新加算Ⅴ（２）",T165="新加算Ⅴ（３）",T165="新加算ⅠⅤ（４）",T165="新加算Ⅴ（５）",T165="新加算Ⅴ（６）",T165="新加算Ⅴ（８）",T165="新加算Ⅴ（11）"),IF(AI165="○","","未入力"),"")</f>
        <v/>
      </c>
      <c r="AZ165" s="1222" t="str">
        <f>IF(OR(U165="新加算Ⅰ",U165="新加算Ⅱ",U165="新加算Ⅲ",U165="新加算Ⅳ",U165="新加算Ⅴ（１）",U165="新加算Ⅴ（２）",U165="新加算Ⅴ（３）",U165="新加算ⅠⅤ（４）",U165="新加算Ⅴ（５）",U165="新加算Ⅴ（６）",U165="新加算Ⅴ（８）",U165="新加算Ⅴ（11）"),IF(AJ165="○","","未入力"),"")</f>
        <v/>
      </c>
      <c r="BA165" s="1222" t="str">
        <f>IF(OR(U165="新加算Ⅴ（７）",U165="新加算Ⅴ（９）",U165="新加算Ⅴ（10）",U165="新加算Ⅴ（12）",U165="新加算Ⅴ（13）",U165="新加算Ⅴ（14）"),IF(AK165="○","","未入力"),"")</f>
        <v/>
      </c>
      <c r="BB165" s="1222" t="str">
        <f>IF(OR(U165="新加算Ⅰ",U165="新加算Ⅱ",U165="新加算Ⅲ",U165="新加算Ⅴ（１）",U165="新加算Ⅴ（３）",U165="新加算Ⅴ（８）"),IF(AL165="○","","未入力"),"")</f>
        <v/>
      </c>
      <c r="BC165" s="1472"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03" t="str">
        <f>IF(AND(T165&lt;&gt;"（参考）令和７年度の移行予定",OR(U165="新加算Ⅰ",U165="新加算Ⅴ（１）",U165="新加算Ⅴ（２）",U165="新加算Ⅴ（５）",U165="新加算Ⅴ（７）",U165="新加算Ⅴ（10）")),IF(AN165="","未入力",IF(AN165="いずれも取得していない","要件を満たさない","")),"")</f>
        <v/>
      </c>
      <c r="BE165" s="1303" t="str">
        <f>G162</f>
        <v/>
      </c>
      <c r="BF165" s="1303"/>
      <c r="BG165" s="1303"/>
    </row>
    <row r="166" spans="1:59" ht="30" customHeight="1">
      <c r="A166" s="1266">
        <v>39</v>
      </c>
      <c r="B166" s="1235" t="str">
        <f>IF(基本情報入力シート!C92="","",基本情報入力シート!C92)</f>
        <v/>
      </c>
      <c r="C166" s="1236"/>
      <c r="D166" s="1236"/>
      <c r="E166" s="1236"/>
      <c r="F166" s="1237"/>
      <c r="G166" s="1252" t="str">
        <f>IF(基本情報入力シート!M92="","",基本情報入力シート!M92)</f>
        <v/>
      </c>
      <c r="H166" s="1252" t="str">
        <f>IF(基本情報入力シート!R92="","",基本情報入力シート!R92)</f>
        <v/>
      </c>
      <c r="I166" s="1252" t="str">
        <f>IF(基本情報入力シート!W92="","",基本情報入力シート!W92)</f>
        <v/>
      </c>
      <c r="J166" s="1415" t="str">
        <f>IF(基本情報入力シート!X92="","",基本情報入力シート!X92)</f>
        <v/>
      </c>
      <c r="K166" s="1252" t="str">
        <f>IF(基本情報入力シート!Y92="","",基本情報入力シート!Y92)</f>
        <v/>
      </c>
      <c r="L166" s="1421" t="str">
        <f>IF(基本情報入力シート!AB92="","",基本情報入力シート!AB92)</f>
        <v/>
      </c>
      <c r="M166" s="550" t="str">
        <f>IF('別紙様式2-2（４・５月分）'!P128="","",'別紙様式2-2（４・５月分）'!P128)</f>
        <v/>
      </c>
      <c r="N166" s="1391" t="str">
        <f>IF(SUM('別紙様式2-2（４・５月分）'!Q128:Q130)=0,"",SUM('別紙様式2-2（４・５月分）'!Q128:Q130))</f>
        <v/>
      </c>
      <c r="O166" s="1395" t="str">
        <f>IFERROR(VLOOKUP('別紙様式2-2（４・５月分）'!AQ128,【参考】数式用!$AR$5:$AS$22,2,FALSE),"")</f>
        <v/>
      </c>
      <c r="P166" s="1396"/>
      <c r="Q166" s="1397"/>
      <c r="R166" s="1531" t="str">
        <f>IFERROR(VLOOKUP(K166,【参考】数式用!$A$5:$AB$37,MATCH(O166,【参考】数式用!$B$4:$AB$4,0)+1,0),"")</f>
        <v/>
      </c>
      <c r="S166" s="1403" t="s">
        <v>2102</v>
      </c>
      <c r="T166" s="1527" t="str">
        <f>IF('別紙様式2-3（６月以降分）'!T166="","",'別紙様式2-3（６月以降分）'!T166)</f>
        <v/>
      </c>
      <c r="U166" s="1529" t="str">
        <f>IFERROR(VLOOKUP(K166,【参考】数式用!$A$5:$AB$37,MATCH(T166,【参考】数式用!$B$4:$AB$4,0)+1,0),"")</f>
        <v/>
      </c>
      <c r="V166" s="1409" t="s">
        <v>15</v>
      </c>
      <c r="W166" s="1525">
        <f>'別紙様式2-3（６月以降分）'!W166</f>
        <v>6</v>
      </c>
      <c r="X166" s="1349" t="s">
        <v>10</v>
      </c>
      <c r="Y166" s="1525">
        <f>'別紙様式2-3（６月以降分）'!Y166</f>
        <v>6</v>
      </c>
      <c r="Z166" s="1349" t="s">
        <v>38</v>
      </c>
      <c r="AA166" s="1525">
        <f>'別紙様式2-3（６月以降分）'!AA166</f>
        <v>7</v>
      </c>
      <c r="AB166" s="1349" t="s">
        <v>10</v>
      </c>
      <c r="AC166" s="1525">
        <f>'別紙様式2-3（６月以降分）'!AC166</f>
        <v>3</v>
      </c>
      <c r="AD166" s="1349" t="s">
        <v>2020</v>
      </c>
      <c r="AE166" s="1349" t="s">
        <v>20</v>
      </c>
      <c r="AF166" s="1349">
        <f>IF(W166&gt;=1,(AA166*12+AC166)-(W166*12+Y166)+1,"")</f>
        <v>10</v>
      </c>
      <c r="AG166" s="1351" t="s">
        <v>33</v>
      </c>
      <c r="AH166" s="1517" t="str">
        <f>'別紙様式2-3（６月以降分）'!AH166</f>
        <v/>
      </c>
      <c r="AI166" s="1519" t="str">
        <f>'別紙様式2-3（６月以降分）'!AI166</f>
        <v/>
      </c>
      <c r="AJ166" s="1521">
        <f>'別紙様式2-3（６月以降分）'!AJ166</f>
        <v>0</v>
      </c>
      <c r="AK166" s="1523" t="str">
        <f>IF('別紙様式2-3（６月以降分）'!AK166="","",'別紙様式2-3（６月以降分）'!AK166)</f>
        <v/>
      </c>
      <c r="AL166" s="1512">
        <f>'別紙様式2-3（６月以降分）'!AL166</f>
        <v>0</v>
      </c>
      <c r="AM166" s="1514" t="str">
        <f>IF('別紙様式2-3（６月以降分）'!AM166="","",'別紙様式2-3（６月以降分）'!AM166)</f>
        <v/>
      </c>
      <c r="AN166" s="1333" t="str">
        <f>IF('別紙様式2-3（６月以降分）'!AN166="","",'別紙様式2-3（６月以降分）'!AN166)</f>
        <v/>
      </c>
      <c r="AO166" s="1331" t="str">
        <f>IF('別紙様式2-3（６月以降分）'!AO166="","",'別紙様式2-3（６月以降分）'!AO166)</f>
        <v/>
      </c>
      <c r="AP166" s="1333" t="str">
        <f>IF('別紙様式2-3（６月以降分）'!AP166="","",'別紙様式2-3（６月以降分）'!AP166)</f>
        <v/>
      </c>
      <c r="AQ166" s="1481" t="str">
        <f>IF('別紙様式2-3（６月以降分）'!AQ166="","",'別紙様式2-3（６月以降分）'!AQ166)</f>
        <v/>
      </c>
      <c r="AR166" s="1484" t="str">
        <f>IF('別紙様式2-3（６月以降分）'!AR166="","",'別紙様式2-3（６月以降分）'!AR166)</f>
        <v/>
      </c>
      <c r="AS166" s="570" t="str">
        <f t="shared" ref="AS166" si="259">IF(AU168="","",IF(U168&lt;U166,"！加算の要件上は問題ありませんが、令和６年度当初の新加算の加算率と比較して、移行後の加算率が下がる計画になっています。",""))</f>
        <v/>
      </c>
      <c r="AT166" s="577"/>
      <c r="AU166" s="1301"/>
      <c r="AV166" s="555" t="str">
        <f>IF('別紙様式2-2（４・５月分）'!N128="","",'別紙様式2-2（４・５月分）'!N128)</f>
        <v/>
      </c>
      <c r="AW166" s="1305" t="str">
        <f>IF(SUM('別紙様式2-2（４・５月分）'!O128:O130)=0,"",SUM('別紙様式2-2（４・５月分）'!O128:O130))</f>
        <v/>
      </c>
      <c r="AX166" s="1473" t="str">
        <f>IFERROR(VLOOKUP(K166,【参考】数式用!$AH$2:$AI$34,2,FALSE),"")</f>
        <v/>
      </c>
      <c r="AY166" s="493"/>
      <c r="BD166" s="340"/>
      <c r="BE166" s="1303" t="str">
        <f>G166</f>
        <v/>
      </c>
      <c r="BF166" s="1303"/>
      <c r="BG166" s="1303"/>
    </row>
    <row r="167" spans="1:59" ht="15" customHeight="1">
      <c r="A167" s="1267"/>
      <c r="B167" s="1235"/>
      <c r="C167" s="1236"/>
      <c r="D167" s="1236"/>
      <c r="E167" s="1236"/>
      <c r="F167" s="1237"/>
      <c r="G167" s="1252"/>
      <c r="H167" s="1252"/>
      <c r="I167" s="1252"/>
      <c r="J167" s="1415"/>
      <c r="K167" s="1252"/>
      <c r="L167" s="1421"/>
      <c r="M167" s="1371" t="str">
        <f>IF('別紙様式2-2（４・５月分）'!P129="","",'別紙様式2-2（４・５月分）'!P129)</f>
        <v/>
      </c>
      <c r="N167" s="1392"/>
      <c r="O167" s="1398"/>
      <c r="P167" s="1399"/>
      <c r="Q167" s="1400"/>
      <c r="R167" s="1532"/>
      <c r="S167" s="1404"/>
      <c r="T167" s="1528"/>
      <c r="U167" s="1530"/>
      <c r="V167" s="1410"/>
      <c r="W167" s="1526"/>
      <c r="X167" s="1350"/>
      <c r="Y167" s="1526"/>
      <c r="Z167" s="1350"/>
      <c r="AA167" s="1526"/>
      <c r="AB167" s="1350"/>
      <c r="AC167" s="1526"/>
      <c r="AD167" s="1350"/>
      <c r="AE167" s="1350"/>
      <c r="AF167" s="1350"/>
      <c r="AG167" s="1352"/>
      <c r="AH167" s="1518"/>
      <c r="AI167" s="1520"/>
      <c r="AJ167" s="1522"/>
      <c r="AK167" s="1524"/>
      <c r="AL167" s="1513"/>
      <c r="AM167" s="1515"/>
      <c r="AN167" s="1334"/>
      <c r="AO167" s="1516"/>
      <c r="AP167" s="1334"/>
      <c r="AQ167" s="1482"/>
      <c r="AR167" s="1485"/>
      <c r="AS167" s="1483" t="str">
        <f t="shared" ref="AS167" si="260">IF(AU168="","",IF(OR(AA168="",AA168&lt;&gt;7,AC168="",AC168&lt;&gt;3),"！算定期間の終わりが令和７年３月になっていません。年度内の廃止予定等がなければ、算定対象月を令和７年３月にしてください。",""))</f>
        <v/>
      </c>
      <c r="AT167" s="577"/>
      <c r="AU167" s="1303"/>
      <c r="AV167" s="1304" t="str">
        <f>IF('別紙様式2-2（４・５月分）'!N129="","",'別紙様式2-2（４・５月分）'!N129)</f>
        <v/>
      </c>
      <c r="AW167" s="1305"/>
      <c r="AX167" s="1474"/>
      <c r="AY167" s="430"/>
      <c r="BD167" s="340"/>
      <c r="BE167" s="1303" t="str">
        <f>G166</f>
        <v/>
      </c>
      <c r="BF167" s="1303"/>
      <c r="BG167" s="1303"/>
    </row>
    <row r="168" spans="1:59" ht="15" customHeight="1">
      <c r="A168" s="1295"/>
      <c r="B168" s="1235"/>
      <c r="C168" s="1236"/>
      <c r="D168" s="1236"/>
      <c r="E168" s="1236"/>
      <c r="F168" s="1237"/>
      <c r="G168" s="1252"/>
      <c r="H168" s="1252"/>
      <c r="I168" s="1252"/>
      <c r="J168" s="1415"/>
      <c r="K168" s="1252"/>
      <c r="L168" s="1421"/>
      <c r="M168" s="1372"/>
      <c r="N168" s="1393"/>
      <c r="O168" s="1373" t="s">
        <v>2025</v>
      </c>
      <c r="P168" s="1425" t="str">
        <f>IFERROR(VLOOKUP('別紙様式2-2（４・５月分）'!AQ128,【参考】数式用!$AR$5:$AT$22,3,FALSE),"")</f>
        <v/>
      </c>
      <c r="Q168" s="1377" t="s">
        <v>2036</v>
      </c>
      <c r="R168" s="1508" t="str">
        <f>IFERROR(VLOOKUP(K166,【参考】数式用!$A$5:$AB$37,MATCH(P168,【参考】数式用!$B$4:$AB$4,0)+1,0),"")</f>
        <v/>
      </c>
      <c r="S168" s="1381" t="s">
        <v>2109</v>
      </c>
      <c r="T168" s="1510"/>
      <c r="U168" s="1506" t="str">
        <f>IFERROR(VLOOKUP(K166,【参考】数式用!$A$5:$AB$37,MATCH(T168,【参考】数式用!$B$4:$AB$4,0)+1,0),"")</f>
        <v/>
      </c>
      <c r="V168" s="1387" t="s">
        <v>15</v>
      </c>
      <c r="W168" s="1504"/>
      <c r="X168" s="1363" t="s">
        <v>10</v>
      </c>
      <c r="Y168" s="1504"/>
      <c r="Z168" s="1363" t="s">
        <v>38</v>
      </c>
      <c r="AA168" s="1504"/>
      <c r="AB168" s="1363" t="s">
        <v>10</v>
      </c>
      <c r="AC168" s="1504"/>
      <c r="AD168" s="1363" t="s">
        <v>2020</v>
      </c>
      <c r="AE168" s="1363" t="s">
        <v>20</v>
      </c>
      <c r="AF168" s="1363" t="str">
        <f>IF(W168&gt;=1,(AA168*12+AC168)-(W168*12+Y168)+1,"")</f>
        <v/>
      </c>
      <c r="AG168" s="1359" t="s">
        <v>33</v>
      </c>
      <c r="AH168" s="1365" t="str">
        <f t="shared" ref="AH168" si="261">IFERROR(ROUNDDOWN(ROUND(L166*U168,0),0)*AF168,"")</f>
        <v/>
      </c>
      <c r="AI168" s="1498" t="str">
        <f t="shared" ref="AI168" si="262">IFERROR(ROUNDDOWN(ROUND((L166*(U168-AW166)),0),0)*AF168,"")</f>
        <v/>
      </c>
      <c r="AJ168" s="1369" t="str">
        <f>IFERROR(ROUNDDOWN(ROUNDDOWN(ROUND(L166*VLOOKUP(K166,【参考】数式用!$A$5:$AB$27,MATCH("新加算Ⅳ",【参考】数式用!$B$4:$AB$4,0)+1,0),0),0)*AF168*0.5,0),"")</f>
        <v/>
      </c>
      <c r="AK168" s="1500"/>
      <c r="AL168" s="1502" t="str">
        <f>IFERROR(IF('別紙様式2-2（４・５月分）'!P168="ベア加算","", IF(OR(T168="新加算Ⅰ",T168="新加算Ⅱ",T168="新加算Ⅲ",T168="新加算Ⅳ"),ROUNDDOWN(ROUND(L166*VLOOKUP(K166,【参考】数式用!$A$5:$I$27,MATCH("ベア加算",【参考】数式用!$B$4:$I$4,0)+1,0),0),0)*AF168,"")),"")</f>
        <v/>
      </c>
      <c r="AM168" s="1494"/>
      <c r="AN168" s="1475"/>
      <c r="AO168" s="1496"/>
      <c r="AP168" s="1475"/>
      <c r="AQ168" s="1477"/>
      <c r="AR168" s="1479"/>
      <c r="AS168" s="1483"/>
      <c r="AT168" s="451"/>
      <c r="AU168" s="1303" t="str">
        <f>IF(AND(AA166&lt;&gt;7,AC166&lt;&gt;3),"V列に色付け","")</f>
        <v/>
      </c>
      <c r="AV168" s="1304"/>
      <c r="AW168" s="1305"/>
      <c r="AX168" s="574"/>
      <c r="AY168" s="1222" t="str">
        <f>IF(AL168&lt;&gt;"",IF(AM168="○","入力済","未入力"),"")</f>
        <v/>
      </c>
      <c r="AZ168" s="1222"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2" t="str">
        <f>IF(OR(T168="新加算Ⅴ（７）",T168="新加算Ⅴ（９）",T168="新加算Ⅴ（10）",T168="新加算Ⅴ（12）",T168="新加算Ⅴ（13）",T168="新加算Ⅴ（14）"),IF(OR(AO168="○",AO168="令和６年度中に満たす"),"入力済","未入力"),"")</f>
        <v/>
      </c>
      <c r="BB168" s="1222" t="str">
        <f>IF(OR(T168="新加算Ⅰ",T168="新加算Ⅱ",T168="新加算Ⅲ",T168="新加算Ⅴ（１）",T168="新加算Ⅴ（３）",T168="新加算Ⅴ（８）"),IF(OR(AP168="○",AP168="令和６年度中に満たす"),"入力済","未入力"),"")</f>
        <v/>
      </c>
      <c r="BC168" s="1472"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03" t="str">
        <f>IF(OR(T168="新加算Ⅰ",T168="新加算Ⅴ（１）",T168="新加算Ⅴ（２）",T168="新加算Ⅴ（５）",T168="新加算Ⅴ（７）",T168="新加算Ⅴ（10）"),IF(AR168="","未入力","入力済"),"")</f>
        <v/>
      </c>
      <c r="BE168" s="1303" t="str">
        <f>G166</f>
        <v/>
      </c>
      <c r="BF168" s="1303"/>
      <c r="BG168" s="1303"/>
    </row>
    <row r="169" spans="1:59" ht="30" customHeight="1" thickBot="1">
      <c r="A169" s="1268"/>
      <c r="B169" s="1411"/>
      <c r="C169" s="1412"/>
      <c r="D169" s="1412"/>
      <c r="E169" s="1412"/>
      <c r="F169" s="1413"/>
      <c r="G169" s="1253"/>
      <c r="H169" s="1253"/>
      <c r="I169" s="1253"/>
      <c r="J169" s="1416"/>
      <c r="K169" s="1253"/>
      <c r="L169" s="1422"/>
      <c r="M169" s="553" t="str">
        <f>IF('別紙様式2-2（４・５月分）'!P130="","",'別紙様式2-2（４・５月分）'!P130)</f>
        <v/>
      </c>
      <c r="N169" s="1394"/>
      <c r="O169" s="1374"/>
      <c r="P169" s="1426"/>
      <c r="Q169" s="1378"/>
      <c r="R169" s="1509"/>
      <c r="S169" s="1382"/>
      <c r="T169" s="1511"/>
      <c r="U169" s="1507"/>
      <c r="V169" s="1388"/>
      <c r="W169" s="1505"/>
      <c r="X169" s="1364"/>
      <c r="Y169" s="1505"/>
      <c r="Z169" s="1364"/>
      <c r="AA169" s="1505"/>
      <c r="AB169" s="1364"/>
      <c r="AC169" s="1505"/>
      <c r="AD169" s="1364"/>
      <c r="AE169" s="1364"/>
      <c r="AF169" s="1364"/>
      <c r="AG169" s="1360"/>
      <c r="AH169" s="1366"/>
      <c r="AI169" s="1499"/>
      <c r="AJ169" s="1370"/>
      <c r="AK169" s="1501"/>
      <c r="AL169" s="1503"/>
      <c r="AM169" s="1495"/>
      <c r="AN169" s="1476"/>
      <c r="AO169" s="1497"/>
      <c r="AP169" s="1476"/>
      <c r="AQ169" s="1478"/>
      <c r="AR169" s="1480"/>
      <c r="AS169" s="575"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1"/>
      <c r="AU169" s="1303"/>
      <c r="AV169" s="555" t="str">
        <f>IF('別紙様式2-2（４・５月分）'!N130="","",'別紙様式2-2（４・５月分）'!N130)</f>
        <v/>
      </c>
      <c r="AW169" s="1305"/>
      <c r="AX169" s="576"/>
      <c r="AY169" s="1222" t="str">
        <f>IF(OR(T169="新加算Ⅰ",T169="新加算Ⅱ",T169="新加算Ⅲ",T169="新加算Ⅳ",T169="新加算Ⅴ（１）",T169="新加算Ⅴ（２）",T169="新加算Ⅴ（３）",T169="新加算ⅠⅤ（４）",T169="新加算Ⅴ（５）",T169="新加算Ⅴ（６）",T169="新加算Ⅴ（８）",T169="新加算Ⅴ（11）"),IF(AI169="○","","未入力"),"")</f>
        <v/>
      </c>
      <c r="AZ169" s="1222" t="str">
        <f>IF(OR(U169="新加算Ⅰ",U169="新加算Ⅱ",U169="新加算Ⅲ",U169="新加算Ⅳ",U169="新加算Ⅴ（１）",U169="新加算Ⅴ（２）",U169="新加算Ⅴ（３）",U169="新加算ⅠⅤ（４）",U169="新加算Ⅴ（５）",U169="新加算Ⅴ（６）",U169="新加算Ⅴ（８）",U169="新加算Ⅴ（11）"),IF(AJ169="○","","未入力"),"")</f>
        <v/>
      </c>
      <c r="BA169" s="1222" t="str">
        <f>IF(OR(U169="新加算Ⅴ（７）",U169="新加算Ⅴ（９）",U169="新加算Ⅴ（10）",U169="新加算Ⅴ（12）",U169="新加算Ⅴ（13）",U169="新加算Ⅴ（14）"),IF(AK169="○","","未入力"),"")</f>
        <v/>
      </c>
      <c r="BB169" s="1222" t="str">
        <f>IF(OR(U169="新加算Ⅰ",U169="新加算Ⅱ",U169="新加算Ⅲ",U169="新加算Ⅴ（１）",U169="新加算Ⅴ（３）",U169="新加算Ⅴ（８）"),IF(AL169="○","","未入力"),"")</f>
        <v/>
      </c>
      <c r="BC169" s="1472"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03" t="str">
        <f>IF(AND(T169&lt;&gt;"（参考）令和７年度の移行予定",OR(U169="新加算Ⅰ",U169="新加算Ⅴ（１）",U169="新加算Ⅴ（２）",U169="新加算Ⅴ（５）",U169="新加算Ⅴ（７）",U169="新加算Ⅴ（10）")),IF(AN169="","未入力",IF(AN169="いずれも取得していない","要件を満たさない","")),"")</f>
        <v/>
      </c>
      <c r="BE169" s="1303" t="str">
        <f>G166</f>
        <v/>
      </c>
      <c r="BF169" s="1303"/>
      <c r="BG169" s="1303"/>
    </row>
    <row r="170" spans="1:59" ht="30" customHeight="1">
      <c r="A170" s="1293">
        <v>40</v>
      </c>
      <c r="B170" s="1235" t="str">
        <f>IF(基本情報入力シート!C93="","",基本情報入力シート!C93)</f>
        <v/>
      </c>
      <c r="C170" s="1236"/>
      <c r="D170" s="1236"/>
      <c r="E170" s="1236"/>
      <c r="F170" s="1237"/>
      <c r="G170" s="1252" t="str">
        <f>IF(基本情報入力シート!M93="","",基本情報入力シート!M93)</f>
        <v/>
      </c>
      <c r="H170" s="1252" t="str">
        <f>IF(基本情報入力シート!R93="","",基本情報入力シート!R93)</f>
        <v/>
      </c>
      <c r="I170" s="1252" t="str">
        <f>IF(基本情報入力シート!W93="","",基本情報入力シート!W93)</f>
        <v/>
      </c>
      <c r="J170" s="1415" t="str">
        <f>IF(基本情報入力シート!X93="","",基本情報入力シート!X93)</f>
        <v/>
      </c>
      <c r="K170" s="1252" t="str">
        <f>IF(基本情報入力シート!Y93="","",基本情報入力シート!Y93)</f>
        <v/>
      </c>
      <c r="L170" s="1421" t="str">
        <f>IF(基本情報入力シート!AB93="","",基本情報入力シート!AB93)</f>
        <v/>
      </c>
      <c r="M170" s="550" t="str">
        <f>IF('別紙様式2-2（４・５月分）'!P131="","",'別紙様式2-2（４・５月分）'!P131)</f>
        <v/>
      </c>
      <c r="N170" s="1391" t="str">
        <f>IF(SUM('別紙様式2-2（４・５月分）'!Q131:Q133)=0,"",SUM('別紙様式2-2（４・５月分）'!Q131:Q133))</f>
        <v/>
      </c>
      <c r="O170" s="1395" t="str">
        <f>IFERROR(VLOOKUP('別紙様式2-2（４・５月分）'!AQ131,【参考】数式用!$AR$5:$AS$22,2,FALSE),"")</f>
        <v/>
      </c>
      <c r="P170" s="1396"/>
      <c r="Q170" s="1397"/>
      <c r="R170" s="1531" t="str">
        <f>IFERROR(VLOOKUP(K170,【参考】数式用!$A$5:$AB$37,MATCH(O170,【参考】数式用!$B$4:$AB$4,0)+1,0),"")</f>
        <v/>
      </c>
      <c r="S170" s="1403" t="s">
        <v>2102</v>
      </c>
      <c r="T170" s="1527" t="str">
        <f>IF('別紙様式2-3（６月以降分）'!T170="","",'別紙様式2-3（６月以降分）'!T170)</f>
        <v/>
      </c>
      <c r="U170" s="1529" t="str">
        <f>IFERROR(VLOOKUP(K170,【参考】数式用!$A$5:$AB$37,MATCH(T170,【参考】数式用!$B$4:$AB$4,0)+1,0),"")</f>
        <v/>
      </c>
      <c r="V170" s="1409" t="s">
        <v>15</v>
      </c>
      <c r="W170" s="1525">
        <f>'別紙様式2-3（６月以降分）'!W170</f>
        <v>6</v>
      </c>
      <c r="X170" s="1349" t="s">
        <v>10</v>
      </c>
      <c r="Y170" s="1525">
        <f>'別紙様式2-3（６月以降分）'!Y170</f>
        <v>6</v>
      </c>
      <c r="Z170" s="1349" t="s">
        <v>38</v>
      </c>
      <c r="AA170" s="1525">
        <f>'別紙様式2-3（６月以降分）'!AA170</f>
        <v>7</v>
      </c>
      <c r="AB170" s="1349" t="s">
        <v>10</v>
      </c>
      <c r="AC170" s="1525">
        <f>'別紙様式2-3（６月以降分）'!AC170</f>
        <v>3</v>
      </c>
      <c r="AD170" s="1349" t="s">
        <v>2020</v>
      </c>
      <c r="AE170" s="1349" t="s">
        <v>20</v>
      </c>
      <c r="AF170" s="1349">
        <f>IF(W170&gt;=1,(AA170*12+AC170)-(W170*12+Y170)+1,"")</f>
        <v>10</v>
      </c>
      <c r="AG170" s="1351" t="s">
        <v>33</v>
      </c>
      <c r="AH170" s="1517" t="str">
        <f>'別紙様式2-3（６月以降分）'!AH170</f>
        <v/>
      </c>
      <c r="AI170" s="1519" t="str">
        <f>'別紙様式2-3（６月以降分）'!AI170</f>
        <v/>
      </c>
      <c r="AJ170" s="1521">
        <f>'別紙様式2-3（６月以降分）'!AJ170</f>
        <v>0</v>
      </c>
      <c r="AK170" s="1523" t="str">
        <f>IF('別紙様式2-3（６月以降分）'!AK170="","",'別紙様式2-3（６月以降分）'!AK170)</f>
        <v/>
      </c>
      <c r="AL170" s="1512">
        <f>'別紙様式2-3（６月以降分）'!AL170</f>
        <v>0</v>
      </c>
      <c r="AM170" s="1514" t="str">
        <f>IF('別紙様式2-3（６月以降分）'!AM170="","",'別紙様式2-3（６月以降分）'!AM170)</f>
        <v/>
      </c>
      <c r="AN170" s="1333" t="str">
        <f>IF('別紙様式2-3（６月以降分）'!AN170="","",'別紙様式2-3（６月以降分）'!AN170)</f>
        <v/>
      </c>
      <c r="AO170" s="1331" t="str">
        <f>IF('別紙様式2-3（６月以降分）'!AO170="","",'別紙様式2-3（６月以降分）'!AO170)</f>
        <v/>
      </c>
      <c r="AP170" s="1333" t="str">
        <f>IF('別紙様式2-3（６月以降分）'!AP170="","",'別紙様式2-3（６月以降分）'!AP170)</f>
        <v/>
      </c>
      <c r="AQ170" s="1481" t="str">
        <f>IF('別紙様式2-3（６月以降分）'!AQ170="","",'別紙様式2-3（６月以降分）'!AQ170)</f>
        <v/>
      </c>
      <c r="AR170" s="1484" t="str">
        <f>IF('別紙様式2-3（６月以降分）'!AR170="","",'別紙様式2-3（６月以降分）'!AR170)</f>
        <v/>
      </c>
      <c r="AS170" s="570" t="str">
        <f t="shared" ref="AS170" si="266">IF(AU172="","",IF(U172&lt;U170,"！加算の要件上は問題ありませんが、令和６年度当初の新加算の加算率と比較して、移行後の加算率が下がる計画になっています。",""))</f>
        <v/>
      </c>
      <c r="AT170" s="577"/>
      <c r="AU170" s="1301"/>
      <c r="AV170" s="555" t="str">
        <f>IF('別紙様式2-2（４・５月分）'!N131="","",'別紙様式2-2（４・５月分）'!N131)</f>
        <v/>
      </c>
      <c r="AW170" s="1305" t="str">
        <f>IF(SUM('別紙様式2-2（４・５月分）'!O131:O133)=0,"",SUM('別紙様式2-2（４・５月分）'!O131:O133))</f>
        <v/>
      </c>
      <c r="AX170" s="1473" t="str">
        <f>IFERROR(VLOOKUP(K170,【参考】数式用!$AH$2:$AI$34,2,FALSE),"")</f>
        <v/>
      </c>
      <c r="AY170" s="493"/>
      <c r="BD170" s="340"/>
      <c r="BE170" s="1303" t="str">
        <f>G170</f>
        <v/>
      </c>
      <c r="BF170" s="1303"/>
      <c r="BG170" s="1303"/>
    </row>
    <row r="171" spans="1:59" ht="15" customHeight="1">
      <c r="A171" s="1267"/>
      <c r="B171" s="1235"/>
      <c r="C171" s="1236"/>
      <c r="D171" s="1236"/>
      <c r="E171" s="1236"/>
      <c r="F171" s="1237"/>
      <c r="G171" s="1252"/>
      <c r="H171" s="1252"/>
      <c r="I171" s="1252"/>
      <c r="J171" s="1415"/>
      <c r="K171" s="1252"/>
      <c r="L171" s="1421"/>
      <c r="M171" s="1371" t="str">
        <f>IF('別紙様式2-2（４・５月分）'!P132="","",'別紙様式2-2（４・５月分）'!P132)</f>
        <v/>
      </c>
      <c r="N171" s="1392"/>
      <c r="O171" s="1398"/>
      <c r="P171" s="1399"/>
      <c r="Q171" s="1400"/>
      <c r="R171" s="1532"/>
      <c r="S171" s="1404"/>
      <c r="T171" s="1528"/>
      <c r="U171" s="1530"/>
      <c r="V171" s="1410"/>
      <c r="W171" s="1526"/>
      <c r="X171" s="1350"/>
      <c r="Y171" s="1526"/>
      <c r="Z171" s="1350"/>
      <c r="AA171" s="1526"/>
      <c r="AB171" s="1350"/>
      <c r="AC171" s="1526"/>
      <c r="AD171" s="1350"/>
      <c r="AE171" s="1350"/>
      <c r="AF171" s="1350"/>
      <c r="AG171" s="1352"/>
      <c r="AH171" s="1518"/>
      <c r="AI171" s="1520"/>
      <c r="AJ171" s="1522"/>
      <c r="AK171" s="1524"/>
      <c r="AL171" s="1513"/>
      <c r="AM171" s="1515"/>
      <c r="AN171" s="1334"/>
      <c r="AO171" s="1516"/>
      <c r="AP171" s="1334"/>
      <c r="AQ171" s="1482"/>
      <c r="AR171" s="1485"/>
      <c r="AS171" s="1483" t="str">
        <f t="shared" ref="AS171" si="267">IF(AU172="","",IF(OR(AA172="",AA172&lt;&gt;7,AC172="",AC172&lt;&gt;3),"！算定期間の終わりが令和７年３月になっていません。年度内の廃止予定等がなければ、算定対象月を令和７年３月にしてください。",""))</f>
        <v/>
      </c>
      <c r="AT171" s="577"/>
      <c r="AU171" s="1303"/>
      <c r="AV171" s="1304" t="str">
        <f>IF('別紙様式2-2（４・５月分）'!N132="","",'別紙様式2-2（４・５月分）'!N132)</f>
        <v/>
      </c>
      <c r="AW171" s="1305"/>
      <c r="AX171" s="1474"/>
      <c r="AY171" s="430"/>
      <c r="BD171" s="340"/>
      <c r="BE171" s="1303" t="str">
        <f>G170</f>
        <v/>
      </c>
      <c r="BF171" s="1303"/>
      <c r="BG171" s="1303"/>
    </row>
    <row r="172" spans="1:59" ht="15" customHeight="1">
      <c r="A172" s="1295"/>
      <c r="B172" s="1235"/>
      <c r="C172" s="1236"/>
      <c r="D172" s="1236"/>
      <c r="E172" s="1236"/>
      <c r="F172" s="1237"/>
      <c r="G172" s="1252"/>
      <c r="H172" s="1252"/>
      <c r="I172" s="1252"/>
      <c r="J172" s="1415"/>
      <c r="K172" s="1252"/>
      <c r="L172" s="1421"/>
      <c r="M172" s="1372"/>
      <c r="N172" s="1393"/>
      <c r="O172" s="1373" t="s">
        <v>2025</v>
      </c>
      <c r="P172" s="1425" t="str">
        <f>IFERROR(VLOOKUP('別紙様式2-2（４・５月分）'!AQ131,【参考】数式用!$AR$5:$AT$22,3,FALSE),"")</f>
        <v/>
      </c>
      <c r="Q172" s="1377" t="s">
        <v>2036</v>
      </c>
      <c r="R172" s="1508" t="str">
        <f>IFERROR(VLOOKUP(K170,【参考】数式用!$A$5:$AB$37,MATCH(P172,【参考】数式用!$B$4:$AB$4,0)+1,0),"")</f>
        <v/>
      </c>
      <c r="S172" s="1381" t="s">
        <v>2109</v>
      </c>
      <c r="T172" s="1510"/>
      <c r="U172" s="1506" t="str">
        <f>IFERROR(VLOOKUP(K170,【参考】数式用!$A$5:$AB$37,MATCH(T172,【参考】数式用!$B$4:$AB$4,0)+1,0),"")</f>
        <v/>
      </c>
      <c r="V172" s="1387" t="s">
        <v>15</v>
      </c>
      <c r="W172" s="1504"/>
      <c r="X172" s="1363" t="s">
        <v>10</v>
      </c>
      <c r="Y172" s="1504"/>
      <c r="Z172" s="1363" t="s">
        <v>38</v>
      </c>
      <c r="AA172" s="1504"/>
      <c r="AB172" s="1363" t="s">
        <v>10</v>
      </c>
      <c r="AC172" s="1504"/>
      <c r="AD172" s="1363" t="s">
        <v>2020</v>
      </c>
      <c r="AE172" s="1363" t="s">
        <v>20</v>
      </c>
      <c r="AF172" s="1363" t="str">
        <f>IF(W172&gt;=1,(AA172*12+AC172)-(W172*12+Y172)+1,"")</f>
        <v/>
      </c>
      <c r="AG172" s="1359" t="s">
        <v>33</v>
      </c>
      <c r="AH172" s="1365" t="str">
        <f t="shared" ref="AH172" si="268">IFERROR(ROUNDDOWN(ROUND(L170*U172,0),0)*AF172,"")</f>
        <v/>
      </c>
      <c r="AI172" s="1498" t="str">
        <f t="shared" ref="AI172" si="269">IFERROR(ROUNDDOWN(ROUND((L170*(U172-AW170)),0),0)*AF172,"")</f>
        <v/>
      </c>
      <c r="AJ172" s="1369" t="str">
        <f>IFERROR(ROUNDDOWN(ROUNDDOWN(ROUND(L170*VLOOKUP(K170,【参考】数式用!$A$5:$AB$27,MATCH("新加算Ⅳ",【参考】数式用!$B$4:$AB$4,0)+1,0),0),0)*AF172*0.5,0),"")</f>
        <v/>
      </c>
      <c r="AK172" s="1500"/>
      <c r="AL172" s="1502" t="str">
        <f>IFERROR(IF('別紙様式2-2（４・５月分）'!P172="ベア加算","", IF(OR(T172="新加算Ⅰ",T172="新加算Ⅱ",T172="新加算Ⅲ",T172="新加算Ⅳ"),ROUNDDOWN(ROUND(L170*VLOOKUP(K170,【参考】数式用!$A$5:$I$27,MATCH("ベア加算",【参考】数式用!$B$4:$I$4,0)+1,0),0),0)*AF172,"")),"")</f>
        <v/>
      </c>
      <c r="AM172" s="1494"/>
      <c r="AN172" s="1475"/>
      <c r="AO172" s="1496"/>
      <c r="AP172" s="1475"/>
      <c r="AQ172" s="1477"/>
      <c r="AR172" s="1479"/>
      <c r="AS172" s="1483"/>
      <c r="AT172" s="451"/>
      <c r="AU172" s="1303" t="str">
        <f>IF(AND(AA170&lt;&gt;7,AC170&lt;&gt;3),"V列に色付け","")</f>
        <v/>
      </c>
      <c r="AV172" s="1304"/>
      <c r="AW172" s="1305"/>
      <c r="AX172" s="574"/>
      <c r="AY172" s="1222" t="str">
        <f>IF(AL172&lt;&gt;"",IF(AM172="○","入力済","未入力"),"")</f>
        <v/>
      </c>
      <c r="AZ172" s="1222"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2" t="str">
        <f>IF(OR(T172="新加算Ⅴ（７）",T172="新加算Ⅴ（９）",T172="新加算Ⅴ（10）",T172="新加算Ⅴ（12）",T172="新加算Ⅴ（13）",T172="新加算Ⅴ（14）"),IF(OR(AO172="○",AO172="令和６年度中に満たす"),"入力済","未入力"),"")</f>
        <v/>
      </c>
      <c r="BB172" s="1222" t="str">
        <f>IF(OR(T172="新加算Ⅰ",T172="新加算Ⅱ",T172="新加算Ⅲ",T172="新加算Ⅴ（１）",T172="新加算Ⅴ（３）",T172="新加算Ⅴ（８）"),IF(OR(AP172="○",AP172="令和６年度中に満たす"),"入力済","未入力"),"")</f>
        <v/>
      </c>
      <c r="BC172" s="1472"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03" t="str">
        <f>IF(OR(T172="新加算Ⅰ",T172="新加算Ⅴ（１）",T172="新加算Ⅴ（２）",T172="新加算Ⅴ（５）",T172="新加算Ⅴ（７）",T172="新加算Ⅴ（10）"),IF(AR172="","未入力","入力済"),"")</f>
        <v/>
      </c>
      <c r="BE172" s="1303" t="str">
        <f>G170</f>
        <v/>
      </c>
      <c r="BF172" s="1303"/>
      <c r="BG172" s="1303"/>
    </row>
    <row r="173" spans="1:59" ht="30" customHeight="1" thickBot="1">
      <c r="A173" s="1268"/>
      <c r="B173" s="1411"/>
      <c r="C173" s="1412"/>
      <c r="D173" s="1412"/>
      <c r="E173" s="1412"/>
      <c r="F173" s="1413"/>
      <c r="G173" s="1253"/>
      <c r="H173" s="1253"/>
      <c r="I173" s="1253"/>
      <c r="J173" s="1416"/>
      <c r="K173" s="1253"/>
      <c r="L173" s="1422"/>
      <c r="M173" s="553" t="str">
        <f>IF('別紙様式2-2（４・５月分）'!P133="","",'別紙様式2-2（４・５月分）'!P133)</f>
        <v/>
      </c>
      <c r="N173" s="1394"/>
      <c r="O173" s="1374"/>
      <c r="P173" s="1426"/>
      <c r="Q173" s="1378"/>
      <c r="R173" s="1509"/>
      <c r="S173" s="1382"/>
      <c r="T173" s="1511"/>
      <c r="U173" s="1507"/>
      <c r="V173" s="1388"/>
      <c r="W173" s="1505"/>
      <c r="X173" s="1364"/>
      <c r="Y173" s="1505"/>
      <c r="Z173" s="1364"/>
      <c r="AA173" s="1505"/>
      <c r="AB173" s="1364"/>
      <c r="AC173" s="1505"/>
      <c r="AD173" s="1364"/>
      <c r="AE173" s="1364"/>
      <c r="AF173" s="1364"/>
      <c r="AG173" s="1360"/>
      <c r="AH173" s="1366"/>
      <c r="AI173" s="1499"/>
      <c r="AJ173" s="1370"/>
      <c r="AK173" s="1501"/>
      <c r="AL173" s="1503"/>
      <c r="AM173" s="1495"/>
      <c r="AN173" s="1476"/>
      <c r="AO173" s="1497"/>
      <c r="AP173" s="1476"/>
      <c r="AQ173" s="1478"/>
      <c r="AR173" s="1480"/>
      <c r="AS173" s="575"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1"/>
      <c r="AU173" s="1303"/>
      <c r="AV173" s="555" t="str">
        <f>IF('別紙様式2-2（４・５月分）'!N133="","",'別紙様式2-2（４・５月分）'!N133)</f>
        <v/>
      </c>
      <c r="AW173" s="1305"/>
      <c r="AX173" s="576"/>
      <c r="AY173" s="1222" t="str">
        <f>IF(OR(T173="新加算Ⅰ",T173="新加算Ⅱ",T173="新加算Ⅲ",T173="新加算Ⅳ",T173="新加算Ⅴ（１）",T173="新加算Ⅴ（２）",T173="新加算Ⅴ（３）",T173="新加算ⅠⅤ（４）",T173="新加算Ⅴ（５）",T173="新加算Ⅴ（６）",T173="新加算Ⅴ（８）",T173="新加算Ⅴ（11）"),IF(AI173="○","","未入力"),"")</f>
        <v/>
      </c>
      <c r="AZ173" s="1222" t="str">
        <f>IF(OR(U173="新加算Ⅰ",U173="新加算Ⅱ",U173="新加算Ⅲ",U173="新加算Ⅳ",U173="新加算Ⅴ（１）",U173="新加算Ⅴ（２）",U173="新加算Ⅴ（３）",U173="新加算ⅠⅤ（４）",U173="新加算Ⅴ（５）",U173="新加算Ⅴ（６）",U173="新加算Ⅴ（８）",U173="新加算Ⅴ（11）"),IF(AJ173="○","","未入力"),"")</f>
        <v/>
      </c>
      <c r="BA173" s="1222" t="str">
        <f>IF(OR(U173="新加算Ⅴ（７）",U173="新加算Ⅴ（９）",U173="新加算Ⅴ（10）",U173="新加算Ⅴ（12）",U173="新加算Ⅴ（13）",U173="新加算Ⅴ（14）"),IF(AK173="○","","未入力"),"")</f>
        <v/>
      </c>
      <c r="BB173" s="1222" t="str">
        <f>IF(OR(U173="新加算Ⅰ",U173="新加算Ⅱ",U173="新加算Ⅲ",U173="新加算Ⅴ（１）",U173="新加算Ⅴ（３）",U173="新加算Ⅴ（８）"),IF(AL173="○","","未入力"),"")</f>
        <v/>
      </c>
      <c r="BC173" s="1472"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03" t="str">
        <f>IF(AND(T173&lt;&gt;"（参考）令和７年度の移行予定",OR(U173="新加算Ⅰ",U173="新加算Ⅴ（１）",U173="新加算Ⅴ（２）",U173="新加算Ⅴ（５）",U173="新加算Ⅴ（７）",U173="新加算Ⅴ（10）")),IF(AN173="","未入力",IF(AN173="いずれも取得していない","要件を満たさない","")),"")</f>
        <v/>
      </c>
      <c r="BE173" s="1303" t="str">
        <f>G170</f>
        <v/>
      </c>
      <c r="BF173" s="1303"/>
      <c r="BG173" s="1303"/>
    </row>
    <row r="174" spans="1:59" ht="30" customHeight="1">
      <c r="A174" s="1266">
        <v>41</v>
      </c>
      <c r="B174" s="1232" t="str">
        <f>IF(基本情報入力シート!C94="","",基本情報入力シート!C94)</f>
        <v/>
      </c>
      <c r="C174" s="1233"/>
      <c r="D174" s="1233"/>
      <c r="E174" s="1233"/>
      <c r="F174" s="1234"/>
      <c r="G174" s="1251" t="str">
        <f>IF(基本情報入力シート!M94="","",基本情報入力シート!M94)</f>
        <v/>
      </c>
      <c r="H174" s="1251" t="str">
        <f>IF(基本情報入力シート!R94="","",基本情報入力シート!R94)</f>
        <v/>
      </c>
      <c r="I174" s="1251" t="str">
        <f>IF(基本情報入力シート!W94="","",基本情報入力シート!W94)</f>
        <v/>
      </c>
      <c r="J174" s="1414" t="str">
        <f>IF(基本情報入力シート!X94="","",基本情報入力シート!X94)</f>
        <v/>
      </c>
      <c r="K174" s="1251" t="str">
        <f>IF(基本情報入力シート!Y94="","",基本情報入力シート!Y94)</f>
        <v/>
      </c>
      <c r="L174" s="1427" t="str">
        <f>IF(基本情報入力シート!AB94="","",基本情報入力シート!AB94)</f>
        <v/>
      </c>
      <c r="M174" s="550" t="str">
        <f>IF('別紙様式2-2（４・５月分）'!P134="","",'別紙様式2-2（４・５月分）'!P134)</f>
        <v/>
      </c>
      <c r="N174" s="1391" t="str">
        <f>IF(SUM('別紙様式2-2（４・５月分）'!Q134:Q136)=0,"",SUM('別紙様式2-2（４・５月分）'!Q134:Q136))</f>
        <v/>
      </c>
      <c r="O174" s="1395" t="str">
        <f>IFERROR(VLOOKUP('別紙様式2-2（４・５月分）'!AQ134,【参考】数式用!$AR$5:$AS$22,2,FALSE),"")</f>
        <v/>
      </c>
      <c r="P174" s="1396"/>
      <c r="Q174" s="1397"/>
      <c r="R174" s="1531" t="str">
        <f>IFERROR(VLOOKUP(K174,【参考】数式用!$A$5:$AB$37,MATCH(O174,【参考】数式用!$B$4:$AB$4,0)+1,0),"")</f>
        <v/>
      </c>
      <c r="S174" s="1403" t="s">
        <v>2102</v>
      </c>
      <c r="T174" s="1527" t="str">
        <f>IF('別紙様式2-3（６月以降分）'!T174="","",'別紙様式2-3（６月以降分）'!T174)</f>
        <v/>
      </c>
      <c r="U174" s="1529" t="str">
        <f>IFERROR(VLOOKUP(K174,【参考】数式用!$A$5:$AB$37,MATCH(T174,【参考】数式用!$B$4:$AB$4,0)+1,0),"")</f>
        <v/>
      </c>
      <c r="V174" s="1409" t="s">
        <v>15</v>
      </c>
      <c r="W174" s="1525">
        <f>'別紙様式2-3（６月以降分）'!W174</f>
        <v>6</v>
      </c>
      <c r="X174" s="1349" t="s">
        <v>10</v>
      </c>
      <c r="Y174" s="1525">
        <f>'別紙様式2-3（６月以降分）'!Y174</f>
        <v>6</v>
      </c>
      <c r="Z174" s="1349" t="s">
        <v>38</v>
      </c>
      <c r="AA174" s="1525">
        <f>'別紙様式2-3（６月以降分）'!AA174</f>
        <v>7</v>
      </c>
      <c r="AB174" s="1349" t="s">
        <v>10</v>
      </c>
      <c r="AC174" s="1525">
        <f>'別紙様式2-3（６月以降分）'!AC174</f>
        <v>3</v>
      </c>
      <c r="AD174" s="1349" t="s">
        <v>2020</v>
      </c>
      <c r="AE174" s="1349" t="s">
        <v>20</v>
      </c>
      <c r="AF174" s="1349">
        <f>IF(W174&gt;=1,(AA174*12+AC174)-(W174*12+Y174)+1,"")</f>
        <v>10</v>
      </c>
      <c r="AG174" s="1351" t="s">
        <v>33</v>
      </c>
      <c r="AH174" s="1517" t="str">
        <f>'別紙様式2-3（６月以降分）'!AH174</f>
        <v/>
      </c>
      <c r="AI174" s="1519" t="str">
        <f>'別紙様式2-3（６月以降分）'!AI174</f>
        <v/>
      </c>
      <c r="AJ174" s="1521">
        <f>'別紙様式2-3（６月以降分）'!AJ174</f>
        <v>0</v>
      </c>
      <c r="AK174" s="1523" t="str">
        <f>IF('別紙様式2-3（６月以降分）'!AK174="","",'別紙様式2-3（６月以降分）'!AK174)</f>
        <v/>
      </c>
      <c r="AL174" s="1512">
        <f>'別紙様式2-3（６月以降分）'!AL174</f>
        <v>0</v>
      </c>
      <c r="AM174" s="1514" t="str">
        <f>IF('別紙様式2-3（６月以降分）'!AM174="","",'別紙様式2-3（６月以降分）'!AM174)</f>
        <v/>
      </c>
      <c r="AN174" s="1333" t="str">
        <f>IF('別紙様式2-3（６月以降分）'!AN174="","",'別紙様式2-3（６月以降分）'!AN174)</f>
        <v/>
      </c>
      <c r="AO174" s="1331" t="str">
        <f>IF('別紙様式2-3（６月以降分）'!AO174="","",'別紙様式2-3（６月以降分）'!AO174)</f>
        <v/>
      </c>
      <c r="AP174" s="1333" t="str">
        <f>IF('別紙様式2-3（６月以降分）'!AP174="","",'別紙様式2-3（６月以降分）'!AP174)</f>
        <v/>
      </c>
      <c r="AQ174" s="1481" t="str">
        <f>IF('別紙様式2-3（６月以降分）'!AQ174="","",'別紙様式2-3（６月以降分）'!AQ174)</f>
        <v/>
      </c>
      <c r="AR174" s="1484" t="str">
        <f>IF('別紙様式2-3（６月以降分）'!AR174="","",'別紙様式2-3（６月以降分）'!AR174)</f>
        <v/>
      </c>
      <c r="AS174" s="570" t="str">
        <f t="shared" ref="AS174" si="273">IF(AU176="","",IF(U176&lt;U174,"！加算の要件上は問題ありませんが、令和６年度当初の新加算の加算率と比較して、移行後の加算率が下がる計画になっています。",""))</f>
        <v/>
      </c>
      <c r="AT174" s="577"/>
      <c r="AU174" s="1301"/>
      <c r="AV174" s="555" t="str">
        <f>IF('別紙様式2-2（４・５月分）'!N134="","",'別紙様式2-2（４・５月分）'!N134)</f>
        <v/>
      </c>
      <c r="AW174" s="1305" t="str">
        <f>IF(SUM('別紙様式2-2（４・５月分）'!O134:O136)=0,"",SUM('別紙様式2-2（４・５月分）'!O134:O136))</f>
        <v/>
      </c>
      <c r="AX174" s="1473" t="str">
        <f>IFERROR(VLOOKUP(K174,【参考】数式用!$AH$2:$AI$34,2,FALSE),"")</f>
        <v/>
      </c>
      <c r="AY174" s="493"/>
      <c r="BD174" s="340"/>
      <c r="BE174" s="1303" t="str">
        <f>G174</f>
        <v/>
      </c>
      <c r="BF174" s="1303"/>
      <c r="BG174" s="1303"/>
    </row>
    <row r="175" spans="1:59" ht="15" customHeight="1">
      <c r="A175" s="1267"/>
      <c r="B175" s="1235"/>
      <c r="C175" s="1236"/>
      <c r="D175" s="1236"/>
      <c r="E175" s="1236"/>
      <c r="F175" s="1237"/>
      <c r="G175" s="1252"/>
      <c r="H175" s="1252"/>
      <c r="I175" s="1252"/>
      <c r="J175" s="1415"/>
      <c r="K175" s="1252"/>
      <c r="L175" s="1421"/>
      <c r="M175" s="1371" t="str">
        <f>IF('別紙様式2-2（４・５月分）'!P135="","",'別紙様式2-2（４・５月分）'!P135)</f>
        <v/>
      </c>
      <c r="N175" s="1392"/>
      <c r="O175" s="1398"/>
      <c r="P175" s="1399"/>
      <c r="Q175" s="1400"/>
      <c r="R175" s="1532"/>
      <c r="S175" s="1404"/>
      <c r="T175" s="1528"/>
      <c r="U175" s="1530"/>
      <c r="V175" s="1410"/>
      <c r="W175" s="1526"/>
      <c r="X175" s="1350"/>
      <c r="Y175" s="1526"/>
      <c r="Z175" s="1350"/>
      <c r="AA175" s="1526"/>
      <c r="AB175" s="1350"/>
      <c r="AC175" s="1526"/>
      <c r="AD175" s="1350"/>
      <c r="AE175" s="1350"/>
      <c r="AF175" s="1350"/>
      <c r="AG175" s="1352"/>
      <c r="AH175" s="1518"/>
      <c r="AI175" s="1520"/>
      <c r="AJ175" s="1522"/>
      <c r="AK175" s="1524"/>
      <c r="AL175" s="1513"/>
      <c r="AM175" s="1515"/>
      <c r="AN175" s="1334"/>
      <c r="AO175" s="1516"/>
      <c r="AP175" s="1334"/>
      <c r="AQ175" s="1482"/>
      <c r="AR175" s="1485"/>
      <c r="AS175" s="1483" t="str">
        <f t="shared" ref="AS175" si="274">IF(AU176="","",IF(OR(AA176="",AA176&lt;&gt;7,AC176="",AC176&lt;&gt;3),"！算定期間の終わりが令和７年３月になっていません。年度内の廃止予定等がなければ、算定対象月を令和７年３月にしてください。",""))</f>
        <v/>
      </c>
      <c r="AT175" s="577"/>
      <c r="AU175" s="1303"/>
      <c r="AV175" s="1304" t="str">
        <f>IF('別紙様式2-2（４・５月分）'!N135="","",'別紙様式2-2（４・５月分）'!N135)</f>
        <v/>
      </c>
      <c r="AW175" s="1305"/>
      <c r="AX175" s="1474"/>
      <c r="AY175" s="430"/>
      <c r="BD175" s="340"/>
      <c r="BE175" s="1303" t="str">
        <f>G174</f>
        <v/>
      </c>
      <c r="BF175" s="1303"/>
      <c r="BG175" s="1303"/>
    </row>
    <row r="176" spans="1:59" ht="15" customHeight="1">
      <c r="A176" s="1295"/>
      <c r="B176" s="1235"/>
      <c r="C176" s="1236"/>
      <c r="D176" s="1236"/>
      <c r="E176" s="1236"/>
      <c r="F176" s="1237"/>
      <c r="G176" s="1252"/>
      <c r="H176" s="1252"/>
      <c r="I176" s="1252"/>
      <c r="J176" s="1415"/>
      <c r="K176" s="1252"/>
      <c r="L176" s="1421"/>
      <c r="M176" s="1372"/>
      <c r="N176" s="1393"/>
      <c r="O176" s="1373" t="s">
        <v>2025</v>
      </c>
      <c r="P176" s="1425" t="str">
        <f>IFERROR(VLOOKUP('別紙様式2-2（４・５月分）'!AQ134,【参考】数式用!$AR$5:$AT$22,3,FALSE),"")</f>
        <v/>
      </c>
      <c r="Q176" s="1377" t="s">
        <v>2036</v>
      </c>
      <c r="R176" s="1508" t="str">
        <f>IFERROR(VLOOKUP(K174,【参考】数式用!$A$5:$AB$37,MATCH(P176,【参考】数式用!$B$4:$AB$4,0)+1,0),"")</f>
        <v/>
      </c>
      <c r="S176" s="1381" t="s">
        <v>2109</v>
      </c>
      <c r="T176" s="1510"/>
      <c r="U176" s="1506" t="str">
        <f>IFERROR(VLOOKUP(K174,【参考】数式用!$A$5:$AB$37,MATCH(T176,【参考】数式用!$B$4:$AB$4,0)+1,0),"")</f>
        <v/>
      </c>
      <c r="V176" s="1387" t="s">
        <v>15</v>
      </c>
      <c r="W176" s="1504"/>
      <c r="X176" s="1363" t="s">
        <v>10</v>
      </c>
      <c r="Y176" s="1504"/>
      <c r="Z176" s="1363" t="s">
        <v>38</v>
      </c>
      <c r="AA176" s="1504"/>
      <c r="AB176" s="1363" t="s">
        <v>10</v>
      </c>
      <c r="AC176" s="1504"/>
      <c r="AD176" s="1363" t="s">
        <v>2020</v>
      </c>
      <c r="AE176" s="1363" t="s">
        <v>20</v>
      </c>
      <c r="AF176" s="1363" t="str">
        <f>IF(W176&gt;=1,(AA176*12+AC176)-(W176*12+Y176)+1,"")</f>
        <v/>
      </c>
      <c r="AG176" s="1359" t="s">
        <v>33</v>
      </c>
      <c r="AH176" s="1365" t="str">
        <f t="shared" ref="AH176" si="275">IFERROR(ROUNDDOWN(ROUND(L174*U176,0),0)*AF176,"")</f>
        <v/>
      </c>
      <c r="AI176" s="1498" t="str">
        <f t="shared" ref="AI176" si="276">IFERROR(ROUNDDOWN(ROUND((L174*(U176-AW174)),0),0)*AF176,"")</f>
        <v/>
      </c>
      <c r="AJ176" s="1369" t="str">
        <f>IFERROR(ROUNDDOWN(ROUNDDOWN(ROUND(L174*VLOOKUP(K174,【参考】数式用!$A$5:$AB$27,MATCH("新加算Ⅳ",【参考】数式用!$B$4:$AB$4,0)+1,0),0),0)*AF176*0.5,0),"")</f>
        <v/>
      </c>
      <c r="AK176" s="1500"/>
      <c r="AL176" s="1502" t="str">
        <f>IFERROR(IF('別紙様式2-2（４・５月分）'!P176="ベア加算","", IF(OR(T176="新加算Ⅰ",T176="新加算Ⅱ",T176="新加算Ⅲ",T176="新加算Ⅳ"),ROUNDDOWN(ROUND(L174*VLOOKUP(K174,【参考】数式用!$A$5:$I$27,MATCH("ベア加算",【参考】数式用!$B$4:$I$4,0)+1,0),0),0)*AF176,"")),"")</f>
        <v/>
      </c>
      <c r="AM176" s="1494"/>
      <c r="AN176" s="1475"/>
      <c r="AO176" s="1496"/>
      <c r="AP176" s="1475"/>
      <c r="AQ176" s="1477"/>
      <c r="AR176" s="1479"/>
      <c r="AS176" s="1483"/>
      <c r="AT176" s="451"/>
      <c r="AU176" s="1303" t="str">
        <f>IF(AND(AA174&lt;&gt;7,AC174&lt;&gt;3),"V列に色付け","")</f>
        <v/>
      </c>
      <c r="AV176" s="1304"/>
      <c r="AW176" s="1305"/>
      <c r="AX176" s="574"/>
      <c r="AY176" s="1222" t="str">
        <f>IF(AL176&lt;&gt;"",IF(AM176="○","入力済","未入力"),"")</f>
        <v/>
      </c>
      <c r="AZ176" s="1222"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2" t="str">
        <f>IF(OR(T176="新加算Ⅴ（７）",T176="新加算Ⅴ（９）",T176="新加算Ⅴ（10）",T176="新加算Ⅴ（12）",T176="新加算Ⅴ（13）",T176="新加算Ⅴ（14）"),IF(OR(AO176="○",AO176="令和６年度中に満たす"),"入力済","未入力"),"")</f>
        <v/>
      </c>
      <c r="BB176" s="1222" t="str">
        <f>IF(OR(T176="新加算Ⅰ",T176="新加算Ⅱ",T176="新加算Ⅲ",T176="新加算Ⅴ（１）",T176="新加算Ⅴ（３）",T176="新加算Ⅴ（８）"),IF(OR(AP176="○",AP176="令和６年度中に満たす"),"入力済","未入力"),"")</f>
        <v/>
      </c>
      <c r="BC176" s="1472"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03" t="str">
        <f>IF(OR(T176="新加算Ⅰ",T176="新加算Ⅴ（１）",T176="新加算Ⅴ（２）",T176="新加算Ⅴ（５）",T176="新加算Ⅴ（７）",T176="新加算Ⅴ（10）"),IF(AR176="","未入力","入力済"),"")</f>
        <v/>
      </c>
      <c r="BE176" s="1303" t="str">
        <f>G174</f>
        <v/>
      </c>
      <c r="BF176" s="1303"/>
      <c r="BG176" s="1303"/>
    </row>
    <row r="177" spans="1:59" ht="30" customHeight="1" thickBot="1">
      <c r="A177" s="1268"/>
      <c r="B177" s="1411"/>
      <c r="C177" s="1412"/>
      <c r="D177" s="1412"/>
      <c r="E177" s="1412"/>
      <c r="F177" s="1413"/>
      <c r="G177" s="1253"/>
      <c r="H177" s="1253"/>
      <c r="I177" s="1253"/>
      <c r="J177" s="1416"/>
      <c r="K177" s="1253"/>
      <c r="L177" s="1422"/>
      <c r="M177" s="553" t="str">
        <f>IF('別紙様式2-2（４・５月分）'!P136="","",'別紙様式2-2（４・５月分）'!P136)</f>
        <v/>
      </c>
      <c r="N177" s="1394"/>
      <c r="O177" s="1374"/>
      <c r="P177" s="1426"/>
      <c r="Q177" s="1378"/>
      <c r="R177" s="1509"/>
      <c r="S177" s="1382"/>
      <c r="T177" s="1511"/>
      <c r="U177" s="1507"/>
      <c r="V177" s="1388"/>
      <c r="W177" s="1505"/>
      <c r="X177" s="1364"/>
      <c r="Y177" s="1505"/>
      <c r="Z177" s="1364"/>
      <c r="AA177" s="1505"/>
      <c r="AB177" s="1364"/>
      <c r="AC177" s="1505"/>
      <c r="AD177" s="1364"/>
      <c r="AE177" s="1364"/>
      <c r="AF177" s="1364"/>
      <c r="AG177" s="1360"/>
      <c r="AH177" s="1366"/>
      <c r="AI177" s="1499"/>
      <c r="AJ177" s="1370"/>
      <c r="AK177" s="1501"/>
      <c r="AL177" s="1503"/>
      <c r="AM177" s="1495"/>
      <c r="AN177" s="1476"/>
      <c r="AO177" s="1497"/>
      <c r="AP177" s="1476"/>
      <c r="AQ177" s="1478"/>
      <c r="AR177" s="1480"/>
      <c r="AS177" s="575"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1"/>
      <c r="AU177" s="1303"/>
      <c r="AV177" s="555" t="str">
        <f>IF('別紙様式2-2（４・５月分）'!N136="","",'別紙様式2-2（４・５月分）'!N136)</f>
        <v/>
      </c>
      <c r="AW177" s="1305"/>
      <c r="AX177" s="576"/>
      <c r="AY177" s="1222" t="str">
        <f>IF(OR(T177="新加算Ⅰ",T177="新加算Ⅱ",T177="新加算Ⅲ",T177="新加算Ⅳ",T177="新加算Ⅴ（１）",T177="新加算Ⅴ（２）",T177="新加算Ⅴ（３）",T177="新加算ⅠⅤ（４）",T177="新加算Ⅴ（５）",T177="新加算Ⅴ（６）",T177="新加算Ⅴ（８）",T177="新加算Ⅴ（11）"),IF(AI177="○","","未入力"),"")</f>
        <v/>
      </c>
      <c r="AZ177" s="1222" t="str">
        <f>IF(OR(U177="新加算Ⅰ",U177="新加算Ⅱ",U177="新加算Ⅲ",U177="新加算Ⅳ",U177="新加算Ⅴ（１）",U177="新加算Ⅴ（２）",U177="新加算Ⅴ（３）",U177="新加算ⅠⅤ（４）",U177="新加算Ⅴ（５）",U177="新加算Ⅴ（６）",U177="新加算Ⅴ（８）",U177="新加算Ⅴ（11）"),IF(AJ177="○","","未入力"),"")</f>
        <v/>
      </c>
      <c r="BA177" s="1222" t="str">
        <f>IF(OR(U177="新加算Ⅴ（７）",U177="新加算Ⅴ（９）",U177="新加算Ⅴ（10）",U177="新加算Ⅴ（12）",U177="新加算Ⅴ（13）",U177="新加算Ⅴ（14）"),IF(AK177="○","","未入力"),"")</f>
        <v/>
      </c>
      <c r="BB177" s="1222" t="str">
        <f>IF(OR(U177="新加算Ⅰ",U177="新加算Ⅱ",U177="新加算Ⅲ",U177="新加算Ⅴ（１）",U177="新加算Ⅴ（３）",U177="新加算Ⅴ（８）"),IF(AL177="○","","未入力"),"")</f>
        <v/>
      </c>
      <c r="BC177" s="1472"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03" t="str">
        <f>IF(AND(T177&lt;&gt;"（参考）令和７年度の移行予定",OR(U177="新加算Ⅰ",U177="新加算Ⅴ（１）",U177="新加算Ⅴ（２）",U177="新加算Ⅴ（５）",U177="新加算Ⅴ（７）",U177="新加算Ⅴ（10）")),IF(AN177="","未入力",IF(AN177="いずれも取得していない","要件を満たさない","")),"")</f>
        <v/>
      </c>
      <c r="BE177" s="1303" t="str">
        <f>G174</f>
        <v/>
      </c>
      <c r="BF177" s="1303"/>
      <c r="BG177" s="1303"/>
    </row>
    <row r="178" spans="1:59" ht="30" customHeight="1">
      <c r="A178" s="1293">
        <v>42</v>
      </c>
      <c r="B178" s="1235" t="str">
        <f>IF(基本情報入力シート!C95="","",基本情報入力シート!C95)</f>
        <v/>
      </c>
      <c r="C178" s="1236"/>
      <c r="D178" s="1236"/>
      <c r="E178" s="1236"/>
      <c r="F178" s="1237"/>
      <c r="G178" s="1252" t="str">
        <f>IF(基本情報入力シート!M95="","",基本情報入力シート!M95)</f>
        <v/>
      </c>
      <c r="H178" s="1252" t="str">
        <f>IF(基本情報入力シート!R95="","",基本情報入力シート!R95)</f>
        <v/>
      </c>
      <c r="I178" s="1252" t="str">
        <f>IF(基本情報入力シート!W95="","",基本情報入力シート!W95)</f>
        <v/>
      </c>
      <c r="J178" s="1415" t="str">
        <f>IF(基本情報入力シート!X95="","",基本情報入力シート!X95)</f>
        <v/>
      </c>
      <c r="K178" s="1252" t="str">
        <f>IF(基本情報入力シート!Y95="","",基本情報入力シート!Y95)</f>
        <v/>
      </c>
      <c r="L178" s="1421" t="str">
        <f>IF(基本情報入力シート!AB95="","",基本情報入力シート!AB95)</f>
        <v/>
      </c>
      <c r="M178" s="550" t="str">
        <f>IF('別紙様式2-2（４・５月分）'!P137="","",'別紙様式2-2（４・５月分）'!P137)</f>
        <v/>
      </c>
      <c r="N178" s="1391" t="str">
        <f>IF(SUM('別紙様式2-2（４・５月分）'!Q137:Q139)=0,"",SUM('別紙様式2-2（４・５月分）'!Q137:Q139))</f>
        <v/>
      </c>
      <c r="O178" s="1395" t="str">
        <f>IFERROR(VLOOKUP('別紙様式2-2（４・５月分）'!AQ137,【参考】数式用!$AR$5:$AS$22,2,FALSE),"")</f>
        <v/>
      </c>
      <c r="P178" s="1396"/>
      <c r="Q178" s="1397"/>
      <c r="R178" s="1531" t="str">
        <f>IFERROR(VLOOKUP(K178,【参考】数式用!$A$5:$AB$37,MATCH(O178,【参考】数式用!$B$4:$AB$4,0)+1,0),"")</f>
        <v/>
      </c>
      <c r="S178" s="1403" t="s">
        <v>2102</v>
      </c>
      <c r="T178" s="1527" t="str">
        <f>IF('別紙様式2-3（６月以降分）'!T178="","",'別紙様式2-3（６月以降分）'!T178)</f>
        <v/>
      </c>
      <c r="U178" s="1529" t="str">
        <f>IFERROR(VLOOKUP(K178,【参考】数式用!$A$5:$AB$37,MATCH(T178,【参考】数式用!$B$4:$AB$4,0)+1,0),"")</f>
        <v/>
      </c>
      <c r="V178" s="1409" t="s">
        <v>15</v>
      </c>
      <c r="W178" s="1525">
        <f>'別紙様式2-3（６月以降分）'!W178</f>
        <v>6</v>
      </c>
      <c r="X178" s="1349" t="s">
        <v>10</v>
      </c>
      <c r="Y178" s="1525">
        <f>'別紙様式2-3（６月以降分）'!Y178</f>
        <v>6</v>
      </c>
      <c r="Z178" s="1349" t="s">
        <v>38</v>
      </c>
      <c r="AA178" s="1525">
        <f>'別紙様式2-3（６月以降分）'!AA178</f>
        <v>7</v>
      </c>
      <c r="AB178" s="1349" t="s">
        <v>10</v>
      </c>
      <c r="AC178" s="1525">
        <f>'別紙様式2-3（６月以降分）'!AC178</f>
        <v>3</v>
      </c>
      <c r="AD178" s="1349" t="s">
        <v>2020</v>
      </c>
      <c r="AE178" s="1349" t="s">
        <v>20</v>
      </c>
      <c r="AF178" s="1349">
        <f>IF(W178&gt;=1,(AA178*12+AC178)-(W178*12+Y178)+1,"")</f>
        <v>10</v>
      </c>
      <c r="AG178" s="1351" t="s">
        <v>33</v>
      </c>
      <c r="AH178" s="1517" t="str">
        <f>'別紙様式2-3（６月以降分）'!AH178</f>
        <v/>
      </c>
      <c r="AI178" s="1519" t="str">
        <f>'別紙様式2-3（６月以降分）'!AI178</f>
        <v/>
      </c>
      <c r="AJ178" s="1521">
        <f>'別紙様式2-3（６月以降分）'!AJ178</f>
        <v>0</v>
      </c>
      <c r="AK178" s="1523" t="str">
        <f>IF('別紙様式2-3（６月以降分）'!AK178="","",'別紙様式2-3（６月以降分）'!AK178)</f>
        <v/>
      </c>
      <c r="AL178" s="1512">
        <f>'別紙様式2-3（６月以降分）'!AL178</f>
        <v>0</v>
      </c>
      <c r="AM178" s="1514" t="str">
        <f>IF('別紙様式2-3（６月以降分）'!AM178="","",'別紙様式2-3（６月以降分）'!AM178)</f>
        <v/>
      </c>
      <c r="AN178" s="1333" t="str">
        <f>IF('別紙様式2-3（６月以降分）'!AN178="","",'別紙様式2-3（６月以降分）'!AN178)</f>
        <v/>
      </c>
      <c r="AO178" s="1331" t="str">
        <f>IF('別紙様式2-3（６月以降分）'!AO178="","",'別紙様式2-3（６月以降分）'!AO178)</f>
        <v/>
      </c>
      <c r="AP178" s="1333" t="str">
        <f>IF('別紙様式2-3（６月以降分）'!AP178="","",'別紙様式2-3（６月以降分）'!AP178)</f>
        <v/>
      </c>
      <c r="AQ178" s="1481" t="str">
        <f>IF('別紙様式2-3（６月以降分）'!AQ178="","",'別紙様式2-3（６月以降分）'!AQ178)</f>
        <v/>
      </c>
      <c r="AR178" s="1484" t="str">
        <f>IF('別紙様式2-3（６月以降分）'!AR178="","",'別紙様式2-3（６月以降分）'!AR178)</f>
        <v/>
      </c>
      <c r="AS178" s="570" t="str">
        <f t="shared" ref="AS178" si="280">IF(AU180="","",IF(U180&lt;U178,"！加算の要件上は問題ありませんが、令和６年度当初の新加算の加算率と比較して、移行後の加算率が下がる計画になっています。",""))</f>
        <v/>
      </c>
      <c r="AT178" s="577"/>
      <c r="AU178" s="1301"/>
      <c r="AV178" s="555" t="str">
        <f>IF('別紙様式2-2（４・５月分）'!N137="","",'別紙様式2-2（４・５月分）'!N137)</f>
        <v/>
      </c>
      <c r="AW178" s="1305" t="str">
        <f>IF(SUM('別紙様式2-2（４・５月分）'!O137:O139)=0,"",SUM('別紙様式2-2（４・５月分）'!O137:O139))</f>
        <v/>
      </c>
      <c r="AX178" s="1473" t="str">
        <f>IFERROR(VLOOKUP(K178,【参考】数式用!$AH$2:$AI$34,2,FALSE),"")</f>
        <v/>
      </c>
      <c r="AY178" s="493"/>
      <c r="BD178" s="340"/>
      <c r="BE178" s="1303" t="str">
        <f>G178</f>
        <v/>
      </c>
      <c r="BF178" s="1303"/>
      <c r="BG178" s="1303"/>
    </row>
    <row r="179" spans="1:59" ht="15" customHeight="1">
      <c r="A179" s="1267"/>
      <c r="B179" s="1235"/>
      <c r="C179" s="1236"/>
      <c r="D179" s="1236"/>
      <c r="E179" s="1236"/>
      <c r="F179" s="1237"/>
      <c r="G179" s="1252"/>
      <c r="H179" s="1252"/>
      <c r="I179" s="1252"/>
      <c r="J179" s="1415"/>
      <c r="K179" s="1252"/>
      <c r="L179" s="1421"/>
      <c r="M179" s="1371" t="str">
        <f>IF('別紙様式2-2（４・５月分）'!P138="","",'別紙様式2-2（４・５月分）'!P138)</f>
        <v/>
      </c>
      <c r="N179" s="1392"/>
      <c r="O179" s="1398"/>
      <c r="P179" s="1399"/>
      <c r="Q179" s="1400"/>
      <c r="R179" s="1532"/>
      <c r="S179" s="1404"/>
      <c r="T179" s="1528"/>
      <c r="U179" s="1530"/>
      <c r="V179" s="1410"/>
      <c r="W179" s="1526"/>
      <c r="X179" s="1350"/>
      <c r="Y179" s="1526"/>
      <c r="Z179" s="1350"/>
      <c r="AA179" s="1526"/>
      <c r="AB179" s="1350"/>
      <c r="AC179" s="1526"/>
      <c r="AD179" s="1350"/>
      <c r="AE179" s="1350"/>
      <c r="AF179" s="1350"/>
      <c r="AG179" s="1352"/>
      <c r="AH179" s="1518"/>
      <c r="AI179" s="1520"/>
      <c r="AJ179" s="1522"/>
      <c r="AK179" s="1524"/>
      <c r="AL179" s="1513"/>
      <c r="AM179" s="1515"/>
      <c r="AN179" s="1334"/>
      <c r="AO179" s="1516"/>
      <c r="AP179" s="1334"/>
      <c r="AQ179" s="1482"/>
      <c r="AR179" s="1485"/>
      <c r="AS179" s="1483" t="str">
        <f t="shared" ref="AS179" si="281">IF(AU180="","",IF(OR(AA180="",AA180&lt;&gt;7,AC180="",AC180&lt;&gt;3),"！算定期間の終わりが令和７年３月になっていません。年度内の廃止予定等がなければ、算定対象月を令和７年３月にしてください。",""))</f>
        <v/>
      </c>
      <c r="AT179" s="577"/>
      <c r="AU179" s="1303"/>
      <c r="AV179" s="1304" t="str">
        <f>IF('別紙様式2-2（４・５月分）'!N138="","",'別紙様式2-2（４・５月分）'!N138)</f>
        <v/>
      </c>
      <c r="AW179" s="1305"/>
      <c r="AX179" s="1474"/>
      <c r="AY179" s="430"/>
      <c r="BD179" s="340"/>
      <c r="BE179" s="1303" t="str">
        <f>G178</f>
        <v/>
      </c>
      <c r="BF179" s="1303"/>
      <c r="BG179" s="1303"/>
    </row>
    <row r="180" spans="1:59" ht="15" customHeight="1">
      <c r="A180" s="1295"/>
      <c r="B180" s="1235"/>
      <c r="C180" s="1236"/>
      <c r="D180" s="1236"/>
      <c r="E180" s="1236"/>
      <c r="F180" s="1237"/>
      <c r="G180" s="1252"/>
      <c r="H180" s="1252"/>
      <c r="I180" s="1252"/>
      <c r="J180" s="1415"/>
      <c r="K180" s="1252"/>
      <c r="L180" s="1421"/>
      <c r="M180" s="1372"/>
      <c r="N180" s="1393"/>
      <c r="O180" s="1373" t="s">
        <v>2025</v>
      </c>
      <c r="P180" s="1425" t="str">
        <f>IFERROR(VLOOKUP('別紙様式2-2（４・５月分）'!AQ137,【参考】数式用!$AR$5:$AT$22,3,FALSE),"")</f>
        <v/>
      </c>
      <c r="Q180" s="1377" t="s">
        <v>2036</v>
      </c>
      <c r="R180" s="1508" t="str">
        <f>IFERROR(VLOOKUP(K178,【参考】数式用!$A$5:$AB$37,MATCH(P180,【参考】数式用!$B$4:$AB$4,0)+1,0),"")</f>
        <v/>
      </c>
      <c r="S180" s="1381" t="s">
        <v>2109</v>
      </c>
      <c r="T180" s="1510"/>
      <c r="U180" s="1506" t="str">
        <f>IFERROR(VLOOKUP(K178,【参考】数式用!$A$5:$AB$37,MATCH(T180,【参考】数式用!$B$4:$AB$4,0)+1,0),"")</f>
        <v/>
      </c>
      <c r="V180" s="1387" t="s">
        <v>15</v>
      </c>
      <c r="W180" s="1504"/>
      <c r="X180" s="1363" t="s">
        <v>10</v>
      </c>
      <c r="Y180" s="1504"/>
      <c r="Z180" s="1363" t="s">
        <v>38</v>
      </c>
      <c r="AA180" s="1504"/>
      <c r="AB180" s="1363" t="s">
        <v>10</v>
      </c>
      <c r="AC180" s="1504"/>
      <c r="AD180" s="1363" t="s">
        <v>2020</v>
      </c>
      <c r="AE180" s="1363" t="s">
        <v>20</v>
      </c>
      <c r="AF180" s="1363" t="str">
        <f>IF(W180&gt;=1,(AA180*12+AC180)-(W180*12+Y180)+1,"")</f>
        <v/>
      </c>
      <c r="AG180" s="1359" t="s">
        <v>33</v>
      </c>
      <c r="AH180" s="1365" t="str">
        <f t="shared" ref="AH180" si="282">IFERROR(ROUNDDOWN(ROUND(L178*U180,0),0)*AF180,"")</f>
        <v/>
      </c>
      <c r="AI180" s="1498" t="str">
        <f t="shared" ref="AI180" si="283">IFERROR(ROUNDDOWN(ROUND((L178*(U180-AW178)),0),0)*AF180,"")</f>
        <v/>
      </c>
      <c r="AJ180" s="1369" t="str">
        <f>IFERROR(ROUNDDOWN(ROUNDDOWN(ROUND(L178*VLOOKUP(K178,【参考】数式用!$A$5:$AB$27,MATCH("新加算Ⅳ",【参考】数式用!$B$4:$AB$4,0)+1,0),0),0)*AF180*0.5,0),"")</f>
        <v/>
      </c>
      <c r="AK180" s="1500"/>
      <c r="AL180" s="1502" t="str">
        <f>IFERROR(IF('別紙様式2-2（４・５月分）'!P180="ベア加算","", IF(OR(T180="新加算Ⅰ",T180="新加算Ⅱ",T180="新加算Ⅲ",T180="新加算Ⅳ"),ROUNDDOWN(ROUND(L178*VLOOKUP(K178,【参考】数式用!$A$5:$I$27,MATCH("ベア加算",【参考】数式用!$B$4:$I$4,0)+1,0),0),0)*AF180,"")),"")</f>
        <v/>
      </c>
      <c r="AM180" s="1494"/>
      <c r="AN180" s="1475"/>
      <c r="AO180" s="1496"/>
      <c r="AP180" s="1475"/>
      <c r="AQ180" s="1477"/>
      <c r="AR180" s="1479"/>
      <c r="AS180" s="1483"/>
      <c r="AT180" s="451"/>
      <c r="AU180" s="1303" t="str">
        <f>IF(AND(AA178&lt;&gt;7,AC178&lt;&gt;3),"V列に色付け","")</f>
        <v/>
      </c>
      <c r="AV180" s="1304"/>
      <c r="AW180" s="1305"/>
      <c r="AX180" s="574"/>
      <c r="AY180" s="1222" t="str">
        <f>IF(AL180&lt;&gt;"",IF(AM180="○","入力済","未入力"),"")</f>
        <v/>
      </c>
      <c r="AZ180" s="1222"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2" t="str">
        <f>IF(OR(T180="新加算Ⅴ（７）",T180="新加算Ⅴ（９）",T180="新加算Ⅴ（10）",T180="新加算Ⅴ（12）",T180="新加算Ⅴ（13）",T180="新加算Ⅴ（14）"),IF(OR(AO180="○",AO180="令和６年度中に満たす"),"入力済","未入力"),"")</f>
        <v/>
      </c>
      <c r="BB180" s="1222" t="str">
        <f>IF(OR(T180="新加算Ⅰ",T180="新加算Ⅱ",T180="新加算Ⅲ",T180="新加算Ⅴ（１）",T180="新加算Ⅴ（３）",T180="新加算Ⅴ（８）"),IF(OR(AP180="○",AP180="令和６年度中に満たす"),"入力済","未入力"),"")</f>
        <v/>
      </c>
      <c r="BC180" s="1472"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03" t="str">
        <f>IF(OR(T180="新加算Ⅰ",T180="新加算Ⅴ（１）",T180="新加算Ⅴ（２）",T180="新加算Ⅴ（５）",T180="新加算Ⅴ（７）",T180="新加算Ⅴ（10）"),IF(AR180="","未入力","入力済"),"")</f>
        <v/>
      </c>
      <c r="BE180" s="1303" t="str">
        <f>G178</f>
        <v/>
      </c>
      <c r="BF180" s="1303"/>
      <c r="BG180" s="1303"/>
    </row>
    <row r="181" spans="1:59" ht="30" customHeight="1" thickBot="1">
      <c r="A181" s="1268"/>
      <c r="B181" s="1411"/>
      <c r="C181" s="1412"/>
      <c r="D181" s="1412"/>
      <c r="E181" s="1412"/>
      <c r="F181" s="1413"/>
      <c r="G181" s="1253"/>
      <c r="H181" s="1253"/>
      <c r="I181" s="1253"/>
      <c r="J181" s="1416"/>
      <c r="K181" s="1253"/>
      <c r="L181" s="1422"/>
      <c r="M181" s="553" t="str">
        <f>IF('別紙様式2-2（４・５月分）'!P139="","",'別紙様式2-2（４・５月分）'!P139)</f>
        <v/>
      </c>
      <c r="N181" s="1394"/>
      <c r="O181" s="1374"/>
      <c r="P181" s="1426"/>
      <c r="Q181" s="1378"/>
      <c r="R181" s="1509"/>
      <c r="S181" s="1382"/>
      <c r="T181" s="1511"/>
      <c r="U181" s="1507"/>
      <c r="V181" s="1388"/>
      <c r="W181" s="1505"/>
      <c r="X181" s="1364"/>
      <c r="Y181" s="1505"/>
      <c r="Z181" s="1364"/>
      <c r="AA181" s="1505"/>
      <c r="AB181" s="1364"/>
      <c r="AC181" s="1505"/>
      <c r="AD181" s="1364"/>
      <c r="AE181" s="1364"/>
      <c r="AF181" s="1364"/>
      <c r="AG181" s="1360"/>
      <c r="AH181" s="1366"/>
      <c r="AI181" s="1499"/>
      <c r="AJ181" s="1370"/>
      <c r="AK181" s="1501"/>
      <c r="AL181" s="1503"/>
      <c r="AM181" s="1495"/>
      <c r="AN181" s="1476"/>
      <c r="AO181" s="1497"/>
      <c r="AP181" s="1476"/>
      <c r="AQ181" s="1478"/>
      <c r="AR181" s="1480"/>
      <c r="AS181" s="575"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1"/>
      <c r="AU181" s="1303"/>
      <c r="AV181" s="555" t="str">
        <f>IF('別紙様式2-2（４・５月分）'!N139="","",'別紙様式2-2（４・５月分）'!N139)</f>
        <v/>
      </c>
      <c r="AW181" s="1305"/>
      <c r="AX181" s="576"/>
      <c r="AY181" s="1222" t="str">
        <f>IF(OR(T181="新加算Ⅰ",T181="新加算Ⅱ",T181="新加算Ⅲ",T181="新加算Ⅳ",T181="新加算Ⅴ（１）",T181="新加算Ⅴ（２）",T181="新加算Ⅴ（３）",T181="新加算ⅠⅤ（４）",T181="新加算Ⅴ（５）",T181="新加算Ⅴ（６）",T181="新加算Ⅴ（８）",T181="新加算Ⅴ（11）"),IF(AI181="○","","未入力"),"")</f>
        <v/>
      </c>
      <c r="AZ181" s="1222" t="str">
        <f>IF(OR(U181="新加算Ⅰ",U181="新加算Ⅱ",U181="新加算Ⅲ",U181="新加算Ⅳ",U181="新加算Ⅴ（１）",U181="新加算Ⅴ（２）",U181="新加算Ⅴ（３）",U181="新加算ⅠⅤ（４）",U181="新加算Ⅴ（５）",U181="新加算Ⅴ（６）",U181="新加算Ⅴ（８）",U181="新加算Ⅴ（11）"),IF(AJ181="○","","未入力"),"")</f>
        <v/>
      </c>
      <c r="BA181" s="1222" t="str">
        <f>IF(OR(U181="新加算Ⅴ（７）",U181="新加算Ⅴ（９）",U181="新加算Ⅴ（10）",U181="新加算Ⅴ（12）",U181="新加算Ⅴ（13）",U181="新加算Ⅴ（14）"),IF(AK181="○","","未入力"),"")</f>
        <v/>
      </c>
      <c r="BB181" s="1222" t="str">
        <f>IF(OR(U181="新加算Ⅰ",U181="新加算Ⅱ",U181="新加算Ⅲ",U181="新加算Ⅴ（１）",U181="新加算Ⅴ（３）",U181="新加算Ⅴ（８）"),IF(AL181="○","","未入力"),"")</f>
        <v/>
      </c>
      <c r="BC181" s="1472"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03" t="str">
        <f>IF(AND(T181&lt;&gt;"（参考）令和７年度の移行予定",OR(U181="新加算Ⅰ",U181="新加算Ⅴ（１）",U181="新加算Ⅴ（２）",U181="新加算Ⅴ（５）",U181="新加算Ⅴ（７）",U181="新加算Ⅴ（10）")),IF(AN181="","未入力",IF(AN181="いずれも取得していない","要件を満たさない","")),"")</f>
        <v/>
      </c>
      <c r="BE181" s="1303" t="str">
        <f>G178</f>
        <v/>
      </c>
      <c r="BF181" s="1303"/>
      <c r="BG181" s="1303"/>
    </row>
    <row r="182" spans="1:59" ht="30" customHeight="1">
      <c r="A182" s="1266">
        <v>43</v>
      </c>
      <c r="B182" s="1232" t="str">
        <f>IF(基本情報入力シート!C96="","",基本情報入力シート!C96)</f>
        <v/>
      </c>
      <c r="C182" s="1233"/>
      <c r="D182" s="1233"/>
      <c r="E182" s="1233"/>
      <c r="F182" s="1234"/>
      <c r="G182" s="1251" t="str">
        <f>IF(基本情報入力シート!M96="","",基本情報入力シート!M96)</f>
        <v/>
      </c>
      <c r="H182" s="1251" t="str">
        <f>IF(基本情報入力シート!R96="","",基本情報入力シート!R96)</f>
        <v/>
      </c>
      <c r="I182" s="1251" t="str">
        <f>IF(基本情報入力シート!W96="","",基本情報入力シート!W96)</f>
        <v/>
      </c>
      <c r="J182" s="1414" t="str">
        <f>IF(基本情報入力シート!X96="","",基本情報入力シート!X96)</f>
        <v/>
      </c>
      <c r="K182" s="1251" t="str">
        <f>IF(基本情報入力シート!Y96="","",基本情報入力シート!Y96)</f>
        <v/>
      </c>
      <c r="L182" s="1427" t="str">
        <f>IF(基本情報入力シート!AB96="","",基本情報入力シート!AB96)</f>
        <v/>
      </c>
      <c r="M182" s="550" t="str">
        <f>IF('別紙様式2-2（４・５月分）'!P140="","",'別紙様式2-2（４・５月分）'!P140)</f>
        <v/>
      </c>
      <c r="N182" s="1391" t="str">
        <f>IF(SUM('別紙様式2-2（４・５月分）'!Q140:Q142)=0,"",SUM('別紙様式2-2（４・５月分）'!Q140:Q142))</f>
        <v/>
      </c>
      <c r="O182" s="1395" t="str">
        <f>IFERROR(VLOOKUP('別紙様式2-2（４・５月分）'!AQ140,【参考】数式用!$AR$5:$AS$22,2,FALSE),"")</f>
        <v/>
      </c>
      <c r="P182" s="1396"/>
      <c r="Q182" s="1397"/>
      <c r="R182" s="1531" t="str">
        <f>IFERROR(VLOOKUP(K182,【参考】数式用!$A$5:$AB$37,MATCH(O182,【参考】数式用!$B$4:$AB$4,0)+1,0),"")</f>
        <v/>
      </c>
      <c r="S182" s="1403" t="s">
        <v>2102</v>
      </c>
      <c r="T182" s="1527" t="str">
        <f>IF('別紙様式2-3（６月以降分）'!T182="","",'別紙様式2-3（６月以降分）'!T182)</f>
        <v/>
      </c>
      <c r="U182" s="1529" t="str">
        <f>IFERROR(VLOOKUP(K182,【参考】数式用!$A$5:$AB$37,MATCH(T182,【参考】数式用!$B$4:$AB$4,0)+1,0),"")</f>
        <v/>
      </c>
      <c r="V182" s="1409" t="s">
        <v>15</v>
      </c>
      <c r="W182" s="1525">
        <f>'別紙様式2-3（６月以降分）'!W182</f>
        <v>6</v>
      </c>
      <c r="X182" s="1349" t="s">
        <v>10</v>
      </c>
      <c r="Y182" s="1525">
        <f>'別紙様式2-3（６月以降分）'!Y182</f>
        <v>6</v>
      </c>
      <c r="Z182" s="1349" t="s">
        <v>38</v>
      </c>
      <c r="AA182" s="1525">
        <f>'別紙様式2-3（６月以降分）'!AA182</f>
        <v>7</v>
      </c>
      <c r="AB182" s="1349" t="s">
        <v>10</v>
      </c>
      <c r="AC182" s="1525">
        <f>'別紙様式2-3（６月以降分）'!AC182</f>
        <v>3</v>
      </c>
      <c r="AD182" s="1349" t="s">
        <v>2020</v>
      </c>
      <c r="AE182" s="1349" t="s">
        <v>20</v>
      </c>
      <c r="AF182" s="1349">
        <f>IF(W182&gt;=1,(AA182*12+AC182)-(W182*12+Y182)+1,"")</f>
        <v>10</v>
      </c>
      <c r="AG182" s="1351" t="s">
        <v>33</v>
      </c>
      <c r="AH182" s="1517" t="str">
        <f>'別紙様式2-3（６月以降分）'!AH182</f>
        <v/>
      </c>
      <c r="AI182" s="1519" t="str">
        <f>'別紙様式2-3（６月以降分）'!AI182</f>
        <v/>
      </c>
      <c r="AJ182" s="1521">
        <f>'別紙様式2-3（６月以降分）'!AJ182</f>
        <v>0</v>
      </c>
      <c r="AK182" s="1523" t="str">
        <f>IF('別紙様式2-3（６月以降分）'!AK182="","",'別紙様式2-3（６月以降分）'!AK182)</f>
        <v/>
      </c>
      <c r="AL182" s="1512">
        <f>'別紙様式2-3（６月以降分）'!AL182</f>
        <v>0</v>
      </c>
      <c r="AM182" s="1514" t="str">
        <f>IF('別紙様式2-3（６月以降分）'!AM182="","",'別紙様式2-3（６月以降分）'!AM182)</f>
        <v/>
      </c>
      <c r="AN182" s="1333" t="str">
        <f>IF('別紙様式2-3（６月以降分）'!AN182="","",'別紙様式2-3（６月以降分）'!AN182)</f>
        <v/>
      </c>
      <c r="AO182" s="1331" t="str">
        <f>IF('別紙様式2-3（６月以降分）'!AO182="","",'別紙様式2-3（６月以降分）'!AO182)</f>
        <v/>
      </c>
      <c r="AP182" s="1333" t="str">
        <f>IF('別紙様式2-3（６月以降分）'!AP182="","",'別紙様式2-3（６月以降分）'!AP182)</f>
        <v/>
      </c>
      <c r="AQ182" s="1481" t="str">
        <f>IF('別紙様式2-3（６月以降分）'!AQ182="","",'別紙様式2-3（６月以降分）'!AQ182)</f>
        <v/>
      </c>
      <c r="AR182" s="1484" t="str">
        <f>IF('別紙様式2-3（６月以降分）'!AR182="","",'別紙様式2-3（６月以降分）'!AR182)</f>
        <v/>
      </c>
      <c r="AS182" s="570" t="str">
        <f t="shared" ref="AS182" si="287">IF(AU184="","",IF(U184&lt;U182,"！加算の要件上は問題ありませんが、令和６年度当初の新加算の加算率と比較して、移行後の加算率が下がる計画になっています。",""))</f>
        <v/>
      </c>
      <c r="AT182" s="577"/>
      <c r="AU182" s="1301"/>
      <c r="AV182" s="555" t="str">
        <f>IF('別紙様式2-2（４・５月分）'!N140="","",'別紙様式2-2（４・５月分）'!N140)</f>
        <v/>
      </c>
      <c r="AW182" s="1305" t="str">
        <f>IF(SUM('別紙様式2-2（４・５月分）'!O140:O142)=0,"",SUM('別紙様式2-2（４・５月分）'!O140:O142))</f>
        <v/>
      </c>
      <c r="AX182" s="1473" t="str">
        <f>IFERROR(VLOOKUP(K182,【参考】数式用!$AH$2:$AI$34,2,FALSE),"")</f>
        <v/>
      </c>
      <c r="AY182" s="493"/>
      <c r="BD182" s="340"/>
      <c r="BE182" s="1303" t="str">
        <f>G182</f>
        <v/>
      </c>
      <c r="BF182" s="1303"/>
      <c r="BG182" s="1303"/>
    </row>
    <row r="183" spans="1:59" ht="15" customHeight="1">
      <c r="A183" s="1267"/>
      <c r="B183" s="1235"/>
      <c r="C183" s="1236"/>
      <c r="D183" s="1236"/>
      <c r="E183" s="1236"/>
      <c r="F183" s="1237"/>
      <c r="G183" s="1252"/>
      <c r="H183" s="1252"/>
      <c r="I183" s="1252"/>
      <c r="J183" s="1415"/>
      <c r="K183" s="1252"/>
      <c r="L183" s="1421"/>
      <c r="M183" s="1371" t="str">
        <f>IF('別紙様式2-2（４・５月分）'!P141="","",'別紙様式2-2（４・５月分）'!P141)</f>
        <v/>
      </c>
      <c r="N183" s="1392"/>
      <c r="O183" s="1398"/>
      <c r="P183" s="1399"/>
      <c r="Q183" s="1400"/>
      <c r="R183" s="1532"/>
      <c r="S183" s="1404"/>
      <c r="T183" s="1528"/>
      <c r="U183" s="1530"/>
      <c r="V183" s="1410"/>
      <c r="W183" s="1526"/>
      <c r="X183" s="1350"/>
      <c r="Y183" s="1526"/>
      <c r="Z183" s="1350"/>
      <c r="AA183" s="1526"/>
      <c r="AB183" s="1350"/>
      <c r="AC183" s="1526"/>
      <c r="AD183" s="1350"/>
      <c r="AE183" s="1350"/>
      <c r="AF183" s="1350"/>
      <c r="AG183" s="1352"/>
      <c r="AH183" s="1518"/>
      <c r="AI183" s="1520"/>
      <c r="AJ183" s="1522"/>
      <c r="AK183" s="1524"/>
      <c r="AL183" s="1513"/>
      <c r="AM183" s="1515"/>
      <c r="AN183" s="1334"/>
      <c r="AO183" s="1516"/>
      <c r="AP183" s="1334"/>
      <c r="AQ183" s="1482"/>
      <c r="AR183" s="1485"/>
      <c r="AS183" s="1483" t="str">
        <f t="shared" ref="AS183" si="288">IF(AU184="","",IF(OR(AA184="",AA184&lt;&gt;7,AC184="",AC184&lt;&gt;3),"！算定期間の終わりが令和７年３月になっていません。年度内の廃止予定等がなければ、算定対象月を令和７年３月にしてください。",""))</f>
        <v/>
      </c>
      <c r="AT183" s="577"/>
      <c r="AU183" s="1303"/>
      <c r="AV183" s="1304" t="str">
        <f>IF('別紙様式2-2（４・５月分）'!N141="","",'別紙様式2-2（４・５月分）'!N141)</f>
        <v/>
      </c>
      <c r="AW183" s="1305"/>
      <c r="AX183" s="1474"/>
      <c r="AY183" s="430"/>
      <c r="BD183" s="340"/>
      <c r="BE183" s="1303" t="str">
        <f>G182</f>
        <v/>
      </c>
      <c r="BF183" s="1303"/>
      <c r="BG183" s="1303"/>
    </row>
    <row r="184" spans="1:59" ht="15" customHeight="1">
      <c r="A184" s="1295"/>
      <c r="B184" s="1235"/>
      <c r="C184" s="1236"/>
      <c r="D184" s="1236"/>
      <c r="E184" s="1236"/>
      <c r="F184" s="1237"/>
      <c r="G184" s="1252"/>
      <c r="H184" s="1252"/>
      <c r="I184" s="1252"/>
      <c r="J184" s="1415"/>
      <c r="K184" s="1252"/>
      <c r="L184" s="1421"/>
      <c r="M184" s="1372"/>
      <c r="N184" s="1393"/>
      <c r="O184" s="1373" t="s">
        <v>2025</v>
      </c>
      <c r="P184" s="1425" t="str">
        <f>IFERROR(VLOOKUP('別紙様式2-2（４・５月分）'!AQ140,【参考】数式用!$AR$5:$AT$22,3,FALSE),"")</f>
        <v/>
      </c>
      <c r="Q184" s="1377" t="s">
        <v>2036</v>
      </c>
      <c r="R184" s="1508" t="str">
        <f>IFERROR(VLOOKUP(K182,【参考】数式用!$A$5:$AB$37,MATCH(P184,【参考】数式用!$B$4:$AB$4,0)+1,0),"")</f>
        <v/>
      </c>
      <c r="S184" s="1381" t="s">
        <v>2109</v>
      </c>
      <c r="T184" s="1510"/>
      <c r="U184" s="1506" t="str">
        <f>IFERROR(VLOOKUP(K182,【参考】数式用!$A$5:$AB$37,MATCH(T184,【参考】数式用!$B$4:$AB$4,0)+1,0),"")</f>
        <v/>
      </c>
      <c r="V184" s="1387" t="s">
        <v>15</v>
      </c>
      <c r="W184" s="1504"/>
      <c r="X184" s="1363" t="s">
        <v>10</v>
      </c>
      <c r="Y184" s="1504"/>
      <c r="Z184" s="1363" t="s">
        <v>38</v>
      </c>
      <c r="AA184" s="1504"/>
      <c r="AB184" s="1363" t="s">
        <v>10</v>
      </c>
      <c r="AC184" s="1504"/>
      <c r="AD184" s="1363" t="s">
        <v>2020</v>
      </c>
      <c r="AE184" s="1363" t="s">
        <v>20</v>
      </c>
      <c r="AF184" s="1363" t="str">
        <f>IF(W184&gt;=1,(AA184*12+AC184)-(W184*12+Y184)+1,"")</f>
        <v/>
      </c>
      <c r="AG184" s="1359" t="s">
        <v>33</v>
      </c>
      <c r="AH184" s="1365" t="str">
        <f t="shared" ref="AH184" si="289">IFERROR(ROUNDDOWN(ROUND(L182*U184,0),0)*AF184,"")</f>
        <v/>
      </c>
      <c r="AI184" s="1498" t="str">
        <f t="shared" ref="AI184" si="290">IFERROR(ROUNDDOWN(ROUND((L182*(U184-AW182)),0),0)*AF184,"")</f>
        <v/>
      </c>
      <c r="AJ184" s="1369" t="str">
        <f>IFERROR(ROUNDDOWN(ROUNDDOWN(ROUND(L182*VLOOKUP(K182,【参考】数式用!$A$5:$AB$27,MATCH("新加算Ⅳ",【参考】数式用!$B$4:$AB$4,0)+1,0),0),0)*AF184*0.5,0),"")</f>
        <v/>
      </c>
      <c r="AK184" s="1500"/>
      <c r="AL184" s="1502" t="str">
        <f>IFERROR(IF('別紙様式2-2（４・５月分）'!P184="ベア加算","", IF(OR(T184="新加算Ⅰ",T184="新加算Ⅱ",T184="新加算Ⅲ",T184="新加算Ⅳ"),ROUNDDOWN(ROUND(L182*VLOOKUP(K182,【参考】数式用!$A$5:$I$27,MATCH("ベア加算",【参考】数式用!$B$4:$I$4,0)+1,0),0),0)*AF184,"")),"")</f>
        <v/>
      </c>
      <c r="AM184" s="1494"/>
      <c r="AN184" s="1475"/>
      <c r="AO184" s="1496"/>
      <c r="AP184" s="1475"/>
      <c r="AQ184" s="1477"/>
      <c r="AR184" s="1479"/>
      <c r="AS184" s="1483"/>
      <c r="AT184" s="451"/>
      <c r="AU184" s="1303" t="str">
        <f>IF(AND(AA182&lt;&gt;7,AC182&lt;&gt;3),"V列に色付け","")</f>
        <v/>
      </c>
      <c r="AV184" s="1304"/>
      <c r="AW184" s="1305"/>
      <c r="AX184" s="574"/>
      <c r="AY184" s="1222" t="str">
        <f>IF(AL184&lt;&gt;"",IF(AM184="○","入力済","未入力"),"")</f>
        <v/>
      </c>
      <c r="AZ184" s="1222"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2" t="str">
        <f>IF(OR(T184="新加算Ⅴ（７）",T184="新加算Ⅴ（９）",T184="新加算Ⅴ（10）",T184="新加算Ⅴ（12）",T184="新加算Ⅴ（13）",T184="新加算Ⅴ（14）"),IF(OR(AO184="○",AO184="令和６年度中に満たす"),"入力済","未入力"),"")</f>
        <v/>
      </c>
      <c r="BB184" s="1222" t="str">
        <f>IF(OR(T184="新加算Ⅰ",T184="新加算Ⅱ",T184="新加算Ⅲ",T184="新加算Ⅴ（１）",T184="新加算Ⅴ（３）",T184="新加算Ⅴ（８）"),IF(OR(AP184="○",AP184="令和６年度中に満たす"),"入力済","未入力"),"")</f>
        <v/>
      </c>
      <c r="BC184" s="1472"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03" t="str">
        <f>IF(OR(T184="新加算Ⅰ",T184="新加算Ⅴ（１）",T184="新加算Ⅴ（２）",T184="新加算Ⅴ（５）",T184="新加算Ⅴ（７）",T184="新加算Ⅴ（10）"),IF(AR184="","未入力","入力済"),"")</f>
        <v/>
      </c>
      <c r="BE184" s="1303" t="str">
        <f>G182</f>
        <v/>
      </c>
      <c r="BF184" s="1303"/>
      <c r="BG184" s="1303"/>
    </row>
    <row r="185" spans="1:59" ht="30" customHeight="1" thickBot="1">
      <c r="A185" s="1268"/>
      <c r="B185" s="1411"/>
      <c r="C185" s="1412"/>
      <c r="D185" s="1412"/>
      <c r="E185" s="1412"/>
      <c r="F185" s="1413"/>
      <c r="G185" s="1253"/>
      <c r="H185" s="1253"/>
      <c r="I185" s="1253"/>
      <c r="J185" s="1416"/>
      <c r="K185" s="1253"/>
      <c r="L185" s="1422"/>
      <c r="M185" s="553" t="str">
        <f>IF('別紙様式2-2（４・５月分）'!P142="","",'別紙様式2-2（４・５月分）'!P142)</f>
        <v/>
      </c>
      <c r="N185" s="1394"/>
      <c r="O185" s="1374"/>
      <c r="P185" s="1426"/>
      <c r="Q185" s="1378"/>
      <c r="R185" s="1509"/>
      <c r="S185" s="1382"/>
      <c r="T185" s="1511"/>
      <c r="U185" s="1507"/>
      <c r="V185" s="1388"/>
      <c r="W185" s="1505"/>
      <c r="X185" s="1364"/>
      <c r="Y185" s="1505"/>
      <c r="Z185" s="1364"/>
      <c r="AA185" s="1505"/>
      <c r="AB185" s="1364"/>
      <c r="AC185" s="1505"/>
      <c r="AD185" s="1364"/>
      <c r="AE185" s="1364"/>
      <c r="AF185" s="1364"/>
      <c r="AG185" s="1360"/>
      <c r="AH185" s="1366"/>
      <c r="AI185" s="1499"/>
      <c r="AJ185" s="1370"/>
      <c r="AK185" s="1501"/>
      <c r="AL185" s="1503"/>
      <c r="AM185" s="1495"/>
      <c r="AN185" s="1476"/>
      <c r="AO185" s="1497"/>
      <c r="AP185" s="1476"/>
      <c r="AQ185" s="1478"/>
      <c r="AR185" s="1480"/>
      <c r="AS185" s="575"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1"/>
      <c r="AU185" s="1303"/>
      <c r="AV185" s="555" t="str">
        <f>IF('別紙様式2-2（４・５月分）'!N142="","",'別紙様式2-2（４・５月分）'!N142)</f>
        <v/>
      </c>
      <c r="AW185" s="1305"/>
      <c r="AX185" s="576"/>
      <c r="AY185" s="1222" t="str">
        <f>IF(OR(T185="新加算Ⅰ",T185="新加算Ⅱ",T185="新加算Ⅲ",T185="新加算Ⅳ",T185="新加算Ⅴ（１）",T185="新加算Ⅴ（２）",T185="新加算Ⅴ（３）",T185="新加算ⅠⅤ（４）",T185="新加算Ⅴ（５）",T185="新加算Ⅴ（６）",T185="新加算Ⅴ（８）",T185="新加算Ⅴ（11）"),IF(AI185="○","","未入力"),"")</f>
        <v/>
      </c>
      <c r="AZ185" s="1222" t="str">
        <f>IF(OR(U185="新加算Ⅰ",U185="新加算Ⅱ",U185="新加算Ⅲ",U185="新加算Ⅳ",U185="新加算Ⅴ（１）",U185="新加算Ⅴ（２）",U185="新加算Ⅴ（３）",U185="新加算ⅠⅤ（４）",U185="新加算Ⅴ（５）",U185="新加算Ⅴ（６）",U185="新加算Ⅴ（８）",U185="新加算Ⅴ（11）"),IF(AJ185="○","","未入力"),"")</f>
        <v/>
      </c>
      <c r="BA185" s="1222" t="str">
        <f>IF(OR(U185="新加算Ⅴ（７）",U185="新加算Ⅴ（９）",U185="新加算Ⅴ（10）",U185="新加算Ⅴ（12）",U185="新加算Ⅴ（13）",U185="新加算Ⅴ（14）"),IF(AK185="○","","未入力"),"")</f>
        <v/>
      </c>
      <c r="BB185" s="1222" t="str">
        <f>IF(OR(U185="新加算Ⅰ",U185="新加算Ⅱ",U185="新加算Ⅲ",U185="新加算Ⅴ（１）",U185="新加算Ⅴ（３）",U185="新加算Ⅴ（８）"),IF(AL185="○","","未入力"),"")</f>
        <v/>
      </c>
      <c r="BC185" s="1472"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03" t="str">
        <f>IF(AND(T185&lt;&gt;"（参考）令和７年度の移行予定",OR(U185="新加算Ⅰ",U185="新加算Ⅴ（１）",U185="新加算Ⅴ（２）",U185="新加算Ⅴ（５）",U185="新加算Ⅴ（７）",U185="新加算Ⅴ（10）")),IF(AN185="","未入力",IF(AN185="いずれも取得していない","要件を満たさない","")),"")</f>
        <v/>
      </c>
      <c r="BE185" s="1303" t="str">
        <f>G182</f>
        <v/>
      </c>
      <c r="BF185" s="1303"/>
      <c r="BG185" s="1303"/>
    </row>
    <row r="186" spans="1:59" ht="30" customHeight="1">
      <c r="A186" s="1293">
        <v>44</v>
      </c>
      <c r="B186" s="1235" t="str">
        <f>IF(基本情報入力シート!C97="","",基本情報入力シート!C97)</f>
        <v/>
      </c>
      <c r="C186" s="1236"/>
      <c r="D186" s="1236"/>
      <c r="E186" s="1236"/>
      <c r="F186" s="1237"/>
      <c r="G186" s="1252" t="str">
        <f>IF(基本情報入力シート!M97="","",基本情報入力シート!M97)</f>
        <v/>
      </c>
      <c r="H186" s="1252" t="str">
        <f>IF(基本情報入力シート!R97="","",基本情報入力シート!R97)</f>
        <v/>
      </c>
      <c r="I186" s="1252" t="str">
        <f>IF(基本情報入力シート!W97="","",基本情報入力シート!W97)</f>
        <v/>
      </c>
      <c r="J186" s="1415" t="str">
        <f>IF(基本情報入力シート!X97="","",基本情報入力シート!X97)</f>
        <v/>
      </c>
      <c r="K186" s="1252" t="str">
        <f>IF(基本情報入力シート!Y97="","",基本情報入力シート!Y97)</f>
        <v/>
      </c>
      <c r="L186" s="1421" t="str">
        <f>IF(基本情報入力シート!AB97="","",基本情報入力シート!AB97)</f>
        <v/>
      </c>
      <c r="M186" s="550" t="str">
        <f>IF('別紙様式2-2（４・５月分）'!P143="","",'別紙様式2-2（４・５月分）'!P143)</f>
        <v/>
      </c>
      <c r="N186" s="1391" t="str">
        <f>IF(SUM('別紙様式2-2（４・５月分）'!Q143:Q145)=0,"",SUM('別紙様式2-2（４・５月分）'!Q143:Q145))</f>
        <v/>
      </c>
      <c r="O186" s="1395" t="str">
        <f>IFERROR(VLOOKUP('別紙様式2-2（４・５月分）'!AQ143,【参考】数式用!$AR$5:$AS$22,2,FALSE),"")</f>
        <v/>
      </c>
      <c r="P186" s="1396"/>
      <c r="Q186" s="1397"/>
      <c r="R186" s="1531" t="str">
        <f>IFERROR(VLOOKUP(K186,【参考】数式用!$A$5:$AB$37,MATCH(O186,【参考】数式用!$B$4:$AB$4,0)+1,0),"")</f>
        <v/>
      </c>
      <c r="S186" s="1403" t="s">
        <v>2102</v>
      </c>
      <c r="T186" s="1527" t="str">
        <f>IF('別紙様式2-3（６月以降分）'!T186="","",'別紙様式2-3（６月以降分）'!T186)</f>
        <v/>
      </c>
      <c r="U186" s="1529" t="str">
        <f>IFERROR(VLOOKUP(K186,【参考】数式用!$A$5:$AB$37,MATCH(T186,【参考】数式用!$B$4:$AB$4,0)+1,0),"")</f>
        <v/>
      </c>
      <c r="V186" s="1409" t="s">
        <v>15</v>
      </c>
      <c r="W186" s="1525">
        <f>'別紙様式2-3（６月以降分）'!W186</f>
        <v>6</v>
      </c>
      <c r="X186" s="1349" t="s">
        <v>10</v>
      </c>
      <c r="Y186" s="1525">
        <f>'別紙様式2-3（６月以降分）'!Y186</f>
        <v>6</v>
      </c>
      <c r="Z186" s="1349" t="s">
        <v>38</v>
      </c>
      <c r="AA186" s="1525">
        <f>'別紙様式2-3（６月以降分）'!AA186</f>
        <v>7</v>
      </c>
      <c r="AB186" s="1349" t="s">
        <v>10</v>
      </c>
      <c r="AC186" s="1525">
        <f>'別紙様式2-3（６月以降分）'!AC186</f>
        <v>3</v>
      </c>
      <c r="AD186" s="1349" t="s">
        <v>2020</v>
      </c>
      <c r="AE186" s="1349" t="s">
        <v>20</v>
      </c>
      <c r="AF186" s="1349">
        <f>IF(W186&gt;=1,(AA186*12+AC186)-(W186*12+Y186)+1,"")</f>
        <v>10</v>
      </c>
      <c r="AG186" s="1351" t="s">
        <v>33</v>
      </c>
      <c r="AH186" s="1517" t="str">
        <f>'別紙様式2-3（６月以降分）'!AH186</f>
        <v/>
      </c>
      <c r="AI186" s="1519" t="str">
        <f>'別紙様式2-3（６月以降分）'!AI186</f>
        <v/>
      </c>
      <c r="AJ186" s="1521">
        <f>'別紙様式2-3（６月以降分）'!AJ186</f>
        <v>0</v>
      </c>
      <c r="AK186" s="1523" t="str">
        <f>IF('別紙様式2-3（６月以降分）'!AK186="","",'別紙様式2-3（６月以降分）'!AK186)</f>
        <v/>
      </c>
      <c r="AL186" s="1512">
        <f>'別紙様式2-3（６月以降分）'!AL186</f>
        <v>0</v>
      </c>
      <c r="AM186" s="1514" t="str">
        <f>IF('別紙様式2-3（６月以降分）'!AM186="","",'別紙様式2-3（６月以降分）'!AM186)</f>
        <v/>
      </c>
      <c r="AN186" s="1333" t="str">
        <f>IF('別紙様式2-3（６月以降分）'!AN186="","",'別紙様式2-3（６月以降分）'!AN186)</f>
        <v/>
      </c>
      <c r="AO186" s="1331" t="str">
        <f>IF('別紙様式2-3（６月以降分）'!AO186="","",'別紙様式2-3（６月以降分）'!AO186)</f>
        <v/>
      </c>
      <c r="AP186" s="1333" t="str">
        <f>IF('別紙様式2-3（６月以降分）'!AP186="","",'別紙様式2-3（６月以降分）'!AP186)</f>
        <v/>
      </c>
      <c r="AQ186" s="1481" t="str">
        <f>IF('別紙様式2-3（６月以降分）'!AQ186="","",'別紙様式2-3（６月以降分）'!AQ186)</f>
        <v/>
      </c>
      <c r="AR186" s="1484" t="str">
        <f>IF('別紙様式2-3（６月以降分）'!AR186="","",'別紙様式2-3（６月以降分）'!AR186)</f>
        <v/>
      </c>
      <c r="AS186" s="570" t="str">
        <f t="shared" ref="AS186" si="294">IF(AU188="","",IF(U188&lt;U186,"！加算の要件上は問題ありませんが、令和６年度当初の新加算の加算率と比較して、移行後の加算率が下がる計画になっています。",""))</f>
        <v/>
      </c>
      <c r="AT186" s="577"/>
      <c r="AU186" s="1301"/>
      <c r="AV186" s="555" t="str">
        <f>IF('別紙様式2-2（４・５月分）'!N143="","",'別紙様式2-2（４・５月分）'!N143)</f>
        <v/>
      </c>
      <c r="AW186" s="1305" t="str">
        <f>IF(SUM('別紙様式2-2（４・５月分）'!O143:O145)=0,"",SUM('別紙様式2-2（４・５月分）'!O143:O145))</f>
        <v/>
      </c>
      <c r="AX186" s="1473" t="str">
        <f>IFERROR(VLOOKUP(K186,【参考】数式用!$AH$2:$AI$34,2,FALSE),"")</f>
        <v/>
      </c>
      <c r="AY186" s="493"/>
      <c r="BD186" s="340"/>
      <c r="BE186" s="1303" t="str">
        <f>G186</f>
        <v/>
      </c>
      <c r="BF186" s="1303"/>
      <c r="BG186" s="1303"/>
    </row>
    <row r="187" spans="1:59" ht="15" customHeight="1">
      <c r="A187" s="1267"/>
      <c r="B187" s="1235"/>
      <c r="C187" s="1236"/>
      <c r="D187" s="1236"/>
      <c r="E187" s="1236"/>
      <c r="F187" s="1237"/>
      <c r="G187" s="1252"/>
      <c r="H187" s="1252"/>
      <c r="I187" s="1252"/>
      <c r="J187" s="1415"/>
      <c r="K187" s="1252"/>
      <c r="L187" s="1421"/>
      <c r="M187" s="1371" t="str">
        <f>IF('別紙様式2-2（４・５月分）'!P144="","",'別紙様式2-2（４・５月分）'!P144)</f>
        <v/>
      </c>
      <c r="N187" s="1392"/>
      <c r="O187" s="1398"/>
      <c r="P187" s="1399"/>
      <c r="Q187" s="1400"/>
      <c r="R187" s="1532"/>
      <c r="S187" s="1404"/>
      <c r="T187" s="1528"/>
      <c r="U187" s="1530"/>
      <c r="V187" s="1410"/>
      <c r="W187" s="1526"/>
      <c r="X187" s="1350"/>
      <c r="Y187" s="1526"/>
      <c r="Z187" s="1350"/>
      <c r="AA187" s="1526"/>
      <c r="AB187" s="1350"/>
      <c r="AC187" s="1526"/>
      <c r="AD187" s="1350"/>
      <c r="AE187" s="1350"/>
      <c r="AF187" s="1350"/>
      <c r="AG187" s="1352"/>
      <c r="AH187" s="1518"/>
      <c r="AI187" s="1520"/>
      <c r="AJ187" s="1522"/>
      <c r="AK187" s="1524"/>
      <c r="AL187" s="1513"/>
      <c r="AM187" s="1515"/>
      <c r="AN187" s="1334"/>
      <c r="AO187" s="1516"/>
      <c r="AP187" s="1334"/>
      <c r="AQ187" s="1482"/>
      <c r="AR187" s="1485"/>
      <c r="AS187" s="1483" t="str">
        <f t="shared" ref="AS187" si="295">IF(AU188="","",IF(OR(AA188="",AA188&lt;&gt;7,AC188="",AC188&lt;&gt;3),"！算定期間の終わりが令和７年３月になっていません。年度内の廃止予定等がなければ、算定対象月を令和７年３月にしてください。",""))</f>
        <v/>
      </c>
      <c r="AT187" s="577"/>
      <c r="AU187" s="1303"/>
      <c r="AV187" s="1304" t="str">
        <f>IF('別紙様式2-2（４・５月分）'!N144="","",'別紙様式2-2（４・５月分）'!N144)</f>
        <v/>
      </c>
      <c r="AW187" s="1305"/>
      <c r="AX187" s="1474"/>
      <c r="AY187" s="430"/>
      <c r="BD187" s="340"/>
      <c r="BE187" s="1303" t="str">
        <f>G186</f>
        <v/>
      </c>
      <c r="BF187" s="1303"/>
      <c r="BG187" s="1303"/>
    </row>
    <row r="188" spans="1:59" ht="15" customHeight="1">
      <c r="A188" s="1295"/>
      <c r="B188" s="1235"/>
      <c r="C188" s="1236"/>
      <c r="D188" s="1236"/>
      <c r="E188" s="1236"/>
      <c r="F188" s="1237"/>
      <c r="G188" s="1252"/>
      <c r="H188" s="1252"/>
      <c r="I188" s="1252"/>
      <c r="J188" s="1415"/>
      <c r="K188" s="1252"/>
      <c r="L188" s="1421"/>
      <c r="M188" s="1372"/>
      <c r="N188" s="1393"/>
      <c r="O188" s="1373" t="s">
        <v>2025</v>
      </c>
      <c r="P188" s="1425" t="str">
        <f>IFERROR(VLOOKUP('別紙様式2-2（４・５月分）'!AQ143,【参考】数式用!$AR$5:$AT$22,3,FALSE),"")</f>
        <v/>
      </c>
      <c r="Q188" s="1377" t="s">
        <v>2036</v>
      </c>
      <c r="R188" s="1508" t="str">
        <f>IFERROR(VLOOKUP(K186,【参考】数式用!$A$5:$AB$37,MATCH(P188,【参考】数式用!$B$4:$AB$4,0)+1,0),"")</f>
        <v/>
      </c>
      <c r="S188" s="1381" t="s">
        <v>2109</v>
      </c>
      <c r="T188" s="1510"/>
      <c r="U188" s="1506" t="str">
        <f>IFERROR(VLOOKUP(K186,【参考】数式用!$A$5:$AB$37,MATCH(T188,【参考】数式用!$B$4:$AB$4,0)+1,0),"")</f>
        <v/>
      </c>
      <c r="V188" s="1387" t="s">
        <v>15</v>
      </c>
      <c r="W188" s="1504"/>
      <c r="X188" s="1363" t="s">
        <v>10</v>
      </c>
      <c r="Y188" s="1504"/>
      <c r="Z188" s="1363" t="s">
        <v>38</v>
      </c>
      <c r="AA188" s="1504"/>
      <c r="AB188" s="1363" t="s">
        <v>10</v>
      </c>
      <c r="AC188" s="1504"/>
      <c r="AD188" s="1363" t="s">
        <v>2020</v>
      </c>
      <c r="AE188" s="1363" t="s">
        <v>20</v>
      </c>
      <c r="AF188" s="1363" t="str">
        <f>IF(W188&gt;=1,(AA188*12+AC188)-(W188*12+Y188)+1,"")</f>
        <v/>
      </c>
      <c r="AG188" s="1359" t="s">
        <v>33</v>
      </c>
      <c r="AH188" s="1365" t="str">
        <f t="shared" ref="AH188" si="296">IFERROR(ROUNDDOWN(ROUND(L186*U188,0),0)*AF188,"")</f>
        <v/>
      </c>
      <c r="AI188" s="1498" t="str">
        <f t="shared" ref="AI188" si="297">IFERROR(ROUNDDOWN(ROUND((L186*(U188-AW186)),0),0)*AF188,"")</f>
        <v/>
      </c>
      <c r="AJ188" s="1369" t="str">
        <f>IFERROR(ROUNDDOWN(ROUNDDOWN(ROUND(L186*VLOOKUP(K186,【参考】数式用!$A$5:$AB$27,MATCH("新加算Ⅳ",【参考】数式用!$B$4:$AB$4,0)+1,0),0),0)*AF188*0.5,0),"")</f>
        <v/>
      </c>
      <c r="AK188" s="1500"/>
      <c r="AL188" s="1502" t="str">
        <f>IFERROR(IF('別紙様式2-2（４・５月分）'!P188="ベア加算","", IF(OR(T188="新加算Ⅰ",T188="新加算Ⅱ",T188="新加算Ⅲ",T188="新加算Ⅳ"),ROUNDDOWN(ROUND(L186*VLOOKUP(K186,【参考】数式用!$A$5:$I$27,MATCH("ベア加算",【参考】数式用!$B$4:$I$4,0)+1,0),0),0)*AF188,"")),"")</f>
        <v/>
      </c>
      <c r="AM188" s="1494"/>
      <c r="AN188" s="1475"/>
      <c r="AO188" s="1496"/>
      <c r="AP188" s="1475"/>
      <c r="AQ188" s="1477"/>
      <c r="AR188" s="1479"/>
      <c r="AS188" s="1483"/>
      <c r="AT188" s="451"/>
      <c r="AU188" s="1303" t="str">
        <f>IF(AND(AA186&lt;&gt;7,AC186&lt;&gt;3),"V列に色付け","")</f>
        <v/>
      </c>
      <c r="AV188" s="1304"/>
      <c r="AW188" s="1305"/>
      <c r="AX188" s="574"/>
      <c r="AY188" s="1222" t="str">
        <f>IF(AL188&lt;&gt;"",IF(AM188="○","入力済","未入力"),"")</f>
        <v/>
      </c>
      <c r="AZ188" s="1222"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2" t="str">
        <f>IF(OR(T188="新加算Ⅴ（７）",T188="新加算Ⅴ（９）",T188="新加算Ⅴ（10）",T188="新加算Ⅴ（12）",T188="新加算Ⅴ（13）",T188="新加算Ⅴ（14）"),IF(OR(AO188="○",AO188="令和６年度中に満たす"),"入力済","未入力"),"")</f>
        <v/>
      </c>
      <c r="BB188" s="1222" t="str">
        <f>IF(OR(T188="新加算Ⅰ",T188="新加算Ⅱ",T188="新加算Ⅲ",T188="新加算Ⅴ（１）",T188="新加算Ⅴ（３）",T188="新加算Ⅴ（８）"),IF(OR(AP188="○",AP188="令和６年度中に満たす"),"入力済","未入力"),"")</f>
        <v/>
      </c>
      <c r="BC188" s="1472"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03" t="str">
        <f>IF(OR(T188="新加算Ⅰ",T188="新加算Ⅴ（１）",T188="新加算Ⅴ（２）",T188="新加算Ⅴ（５）",T188="新加算Ⅴ（７）",T188="新加算Ⅴ（10）"),IF(AR188="","未入力","入力済"),"")</f>
        <v/>
      </c>
      <c r="BE188" s="1303" t="str">
        <f>G186</f>
        <v/>
      </c>
      <c r="BF188" s="1303"/>
      <c r="BG188" s="1303"/>
    </row>
    <row r="189" spans="1:59" ht="30" customHeight="1" thickBot="1">
      <c r="A189" s="1268"/>
      <c r="B189" s="1411"/>
      <c r="C189" s="1412"/>
      <c r="D189" s="1412"/>
      <c r="E189" s="1412"/>
      <c r="F189" s="1413"/>
      <c r="G189" s="1253"/>
      <c r="H189" s="1253"/>
      <c r="I189" s="1253"/>
      <c r="J189" s="1416"/>
      <c r="K189" s="1253"/>
      <c r="L189" s="1422"/>
      <c r="M189" s="553" t="str">
        <f>IF('別紙様式2-2（４・５月分）'!P145="","",'別紙様式2-2（４・５月分）'!P145)</f>
        <v/>
      </c>
      <c r="N189" s="1394"/>
      <c r="O189" s="1374"/>
      <c r="P189" s="1426"/>
      <c r="Q189" s="1378"/>
      <c r="R189" s="1509"/>
      <c r="S189" s="1382"/>
      <c r="T189" s="1511"/>
      <c r="U189" s="1507"/>
      <c r="V189" s="1388"/>
      <c r="W189" s="1505"/>
      <c r="X189" s="1364"/>
      <c r="Y189" s="1505"/>
      <c r="Z189" s="1364"/>
      <c r="AA189" s="1505"/>
      <c r="AB189" s="1364"/>
      <c r="AC189" s="1505"/>
      <c r="AD189" s="1364"/>
      <c r="AE189" s="1364"/>
      <c r="AF189" s="1364"/>
      <c r="AG189" s="1360"/>
      <c r="AH189" s="1366"/>
      <c r="AI189" s="1499"/>
      <c r="AJ189" s="1370"/>
      <c r="AK189" s="1501"/>
      <c r="AL189" s="1503"/>
      <c r="AM189" s="1495"/>
      <c r="AN189" s="1476"/>
      <c r="AO189" s="1497"/>
      <c r="AP189" s="1476"/>
      <c r="AQ189" s="1478"/>
      <c r="AR189" s="1480"/>
      <c r="AS189" s="575"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1"/>
      <c r="AU189" s="1303"/>
      <c r="AV189" s="555" t="str">
        <f>IF('別紙様式2-2（４・５月分）'!N145="","",'別紙様式2-2（４・５月分）'!N145)</f>
        <v/>
      </c>
      <c r="AW189" s="1305"/>
      <c r="AX189" s="576"/>
      <c r="AY189" s="1222" t="str">
        <f>IF(OR(T189="新加算Ⅰ",T189="新加算Ⅱ",T189="新加算Ⅲ",T189="新加算Ⅳ",T189="新加算Ⅴ（１）",T189="新加算Ⅴ（２）",T189="新加算Ⅴ（３）",T189="新加算ⅠⅤ（４）",T189="新加算Ⅴ（５）",T189="新加算Ⅴ（６）",T189="新加算Ⅴ（８）",T189="新加算Ⅴ（11）"),IF(AI189="○","","未入力"),"")</f>
        <v/>
      </c>
      <c r="AZ189" s="1222" t="str">
        <f>IF(OR(U189="新加算Ⅰ",U189="新加算Ⅱ",U189="新加算Ⅲ",U189="新加算Ⅳ",U189="新加算Ⅴ（１）",U189="新加算Ⅴ（２）",U189="新加算Ⅴ（３）",U189="新加算ⅠⅤ（４）",U189="新加算Ⅴ（５）",U189="新加算Ⅴ（６）",U189="新加算Ⅴ（８）",U189="新加算Ⅴ（11）"),IF(AJ189="○","","未入力"),"")</f>
        <v/>
      </c>
      <c r="BA189" s="1222" t="str">
        <f>IF(OR(U189="新加算Ⅴ（７）",U189="新加算Ⅴ（９）",U189="新加算Ⅴ（10）",U189="新加算Ⅴ（12）",U189="新加算Ⅴ（13）",U189="新加算Ⅴ（14）"),IF(AK189="○","","未入力"),"")</f>
        <v/>
      </c>
      <c r="BB189" s="1222" t="str">
        <f>IF(OR(U189="新加算Ⅰ",U189="新加算Ⅱ",U189="新加算Ⅲ",U189="新加算Ⅴ（１）",U189="新加算Ⅴ（３）",U189="新加算Ⅴ（８）"),IF(AL189="○","","未入力"),"")</f>
        <v/>
      </c>
      <c r="BC189" s="1472"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03" t="str">
        <f>IF(AND(T189&lt;&gt;"（参考）令和７年度の移行予定",OR(U189="新加算Ⅰ",U189="新加算Ⅴ（１）",U189="新加算Ⅴ（２）",U189="新加算Ⅴ（５）",U189="新加算Ⅴ（７）",U189="新加算Ⅴ（10）")),IF(AN189="","未入力",IF(AN189="いずれも取得していない","要件を満たさない","")),"")</f>
        <v/>
      </c>
      <c r="BE189" s="1303" t="str">
        <f>G186</f>
        <v/>
      </c>
      <c r="BF189" s="1303"/>
      <c r="BG189" s="1303"/>
    </row>
    <row r="190" spans="1:59" ht="30" customHeight="1">
      <c r="A190" s="1266">
        <v>45</v>
      </c>
      <c r="B190" s="1232" t="str">
        <f>IF(基本情報入力シート!C98="","",基本情報入力シート!C98)</f>
        <v/>
      </c>
      <c r="C190" s="1233"/>
      <c r="D190" s="1233"/>
      <c r="E190" s="1233"/>
      <c r="F190" s="1234"/>
      <c r="G190" s="1251" t="str">
        <f>IF(基本情報入力シート!M98="","",基本情報入力シート!M98)</f>
        <v/>
      </c>
      <c r="H190" s="1251" t="str">
        <f>IF(基本情報入力シート!R98="","",基本情報入力シート!R98)</f>
        <v/>
      </c>
      <c r="I190" s="1251" t="str">
        <f>IF(基本情報入力シート!W98="","",基本情報入力シート!W98)</f>
        <v/>
      </c>
      <c r="J190" s="1414" t="str">
        <f>IF(基本情報入力シート!X98="","",基本情報入力シート!X98)</f>
        <v/>
      </c>
      <c r="K190" s="1251" t="str">
        <f>IF(基本情報入力シート!Y98="","",基本情報入力シート!Y98)</f>
        <v/>
      </c>
      <c r="L190" s="1427" t="str">
        <f>IF(基本情報入力シート!AB98="","",基本情報入力シート!AB98)</f>
        <v/>
      </c>
      <c r="M190" s="550" t="str">
        <f>IF('別紙様式2-2（４・５月分）'!P146="","",'別紙様式2-2（４・５月分）'!P146)</f>
        <v/>
      </c>
      <c r="N190" s="1391" t="str">
        <f>IF(SUM('別紙様式2-2（４・５月分）'!Q146:Q148)=0,"",SUM('別紙様式2-2（４・５月分）'!Q146:Q148))</f>
        <v/>
      </c>
      <c r="O190" s="1395" t="str">
        <f>IFERROR(VLOOKUP('別紙様式2-2（４・５月分）'!AQ146,【参考】数式用!$AR$5:$AS$22,2,FALSE),"")</f>
        <v/>
      </c>
      <c r="P190" s="1396"/>
      <c r="Q190" s="1397"/>
      <c r="R190" s="1531" t="str">
        <f>IFERROR(VLOOKUP(K190,【参考】数式用!$A$5:$AB$37,MATCH(O190,【参考】数式用!$B$4:$AB$4,0)+1,0),"")</f>
        <v/>
      </c>
      <c r="S190" s="1403" t="s">
        <v>2102</v>
      </c>
      <c r="T190" s="1527" t="str">
        <f>IF('別紙様式2-3（６月以降分）'!T190="","",'別紙様式2-3（６月以降分）'!T190)</f>
        <v/>
      </c>
      <c r="U190" s="1529" t="str">
        <f>IFERROR(VLOOKUP(K190,【参考】数式用!$A$5:$AB$37,MATCH(T190,【参考】数式用!$B$4:$AB$4,0)+1,0),"")</f>
        <v/>
      </c>
      <c r="V190" s="1409" t="s">
        <v>15</v>
      </c>
      <c r="W190" s="1525">
        <f>'別紙様式2-3（６月以降分）'!W190</f>
        <v>6</v>
      </c>
      <c r="X190" s="1349" t="s">
        <v>10</v>
      </c>
      <c r="Y190" s="1525">
        <f>'別紙様式2-3（６月以降分）'!Y190</f>
        <v>6</v>
      </c>
      <c r="Z190" s="1349" t="s">
        <v>38</v>
      </c>
      <c r="AA190" s="1525">
        <f>'別紙様式2-3（６月以降分）'!AA190</f>
        <v>7</v>
      </c>
      <c r="AB190" s="1349" t="s">
        <v>10</v>
      </c>
      <c r="AC190" s="1525">
        <f>'別紙様式2-3（６月以降分）'!AC190</f>
        <v>3</v>
      </c>
      <c r="AD190" s="1349" t="s">
        <v>2020</v>
      </c>
      <c r="AE190" s="1349" t="s">
        <v>20</v>
      </c>
      <c r="AF190" s="1349">
        <f>IF(W190&gt;=1,(AA190*12+AC190)-(W190*12+Y190)+1,"")</f>
        <v>10</v>
      </c>
      <c r="AG190" s="1351" t="s">
        <v>33</v>
      </c>
      <c r="AH190" s="1517" t="str">
        <f>'別紙様式2-3（６月以降分）'!AH190</f>
        <v/>
      </c>
      <c r="AI190" s="1519" t="str">
        <f>'別紙様式2-3（６月以降分）'!AI190</f>
        <v/>
      </c>
      <c r="AJ190" s="1521">
        <f>'別紙様式2-3（６月以降分）'!AJ190</f>
        <v>0</v>
      </c>
      <c r="AK190" s="1523" t="str">
        <f>IF('別紙様式2-3（６月以降分）'!AK190="","",'別紙様式2-3（６月以降分）'!AK190)</f>
        <v/>
      </c>
      <c r="AL190" s="1512">
        <f>'別紙様式2-3（６月以降分）'!AL190</f>
        <v>0</v>
      </c>
      <c r="AM190" s="1514" t="str">
        <f>IF('別紙様式2-3（６月以降分）'!AM190="","",'別紙様式2-3（６月以降分）'!AM190)</f>
        <v/>
      </c>
      <c r="AN190" s="1333" t="str">
        <f>IF('別紙様式2-3（６月以降分）'!AN190="","",'別紙様式2-3（６月以降分）'!AN190)</f>
        <v/>
      </c>
      <c r="AO190" s="1331" t="str">
        <f>IF('別紙様式2-3（６月以降分）'!AO190="","",'別紙様式2-3（６月以降分）'!AO190)</f>
        <v/>
      </c>
      <c r="AP190" s="1333" t="str">
        <f>IF('別紙様式2-3（６月以降分）'!AP190="","",'別紙様式2-3（６月以降分）'!AP190)</f>
        <v/>
      </c>
      <c r="AQ190" s="1481" t="str">
        <f>IF('別紙様式2-3（６月以降分）'!AQ190="","",'別紙様式2-3（６月以降分）'!AQ190)</f>
        <v/>
      </c>
      <c r="AR190" s="1484" t="str">
        <f>IF('別紙様式2-3（６月以降分）'!AR190="","",'別紙様式2-3（６月以降分）'!AR190)</f>
        <v/>
      </c>
      <c r="AS190" s="570" t="str">
        <f t="shared" ref="AS190" si="301">IF(AU192="","",IF(U192&lt;U190,"！加算の要件上は問題ありませんが、令和６年度当初の新加算の加算率と比較して、移行後の加算率が下がる計画になっています。",""))</f>
        <v/>
      </c>
      <c r="AT190" s="577"/>
      <c r="AU190" s="1301"/>
      <c r="AV190" s="555" t="str">
        <f>IF('別紙様式2-2（４・５月分）'!N146="","",'別紙様式2-2（４・５月分）'!N146)</f>
        <v/>
      </c>
      <c r="AW190" s="1305" t="str">
        <f>IF(SUM('別紙様式2-2（４・５月分）'!O146:O148)=0,"",SUM('別紙様式2-2（４・５月分）'!O146:O148))</f>
        <v/>
      </c>
      <c r="AX190" s="1473" t="str">
        <f>IFERROR(VLOOKUP(K190,【参考】数式用!$AH$2:$AI$34,2,FALSE),"")</f>
        <v/>
      </c>
      <c r="AY190" s="493"/>
      <c r="BD190" s="340"/>
      <c r="BE190" s="1303" t="str">
        <f>G190</f>
        <v/>
      </c>
      <c r="BF190" s="1303"/>
      <c r="BG190" s="1303"/>
    </row>
    <row r="191" spans="1:59" ht="15" customHeight="1">
      <c r="A191" s="1267"/>
      <c r="B191" s="1235"/>
      <c r="C191" s="1236"/>
      <c r="D191" s="1236"/>
      <c r="E191" s="1236"/>
      <c r="F191" s="1237"/>
      <c r="G191" s="1252"/>
      <c r="H191" s="1252"/>
      <c r="I191" s="1252"/>
      <c r="J191" s="1415"/>
      <c r="K191" s="1252"/>
      <c r="L191" s="1421"/>
      <c r="M191" s="1371" t="str">
        <f>IF('別紙様式2-2（４・５月分）'!P147="","",'別紙様式2-2（４・５月分）'!P147)</f>
        <v/>
      </c>
      <c r="N191" s="1392"/>
      <c r="O191" s="1398"/>
      <c r="P191" s="1399"/>
      <c r="Q191" s="1400"/>
      <c r="R191" s="1532"/>
      <c r="S191" s="1404"/>
      <c r="T191" s="1528"/>
      <c r="U191" s="1530"/>
      <c r="V191" s="1410"/>
      <c r="W191" s="1526"/>
      <c r="X191" s="1350"/>
      <c r="Y191" s="1526"/>
      <c r="Z191" s="1350"/>
      <c r="AA191" s="1526"/>
      <c r="AB191" s="1350"/>
      <c r="AC191" s="1526"/>
      <c r="AD191" s="1350"/>
      <c r="AE191" s="1350"/>
      <c r="AF191" s="1350"/>
      <c r="AG191" s="1352"/>
      <c r="AH191" s="1518"/>
      <c r="AI191" s="1520"/>
      <c r="AJ191" s="1522"/>
      <c r="AK191" s="1524"/>
      <c r="AL191" s="1513"/>
      <c r="AM191" s="1515"/>
      <c r="AN191" s="1334"/>
      <c r="AO191" s="1516"/>
      <c r="AP191" s="1334"/>
      <c r="AQ191" s="1482"/>
      <c r="AR191" s="1485"/>
      <c r="AS191" s="1483" t="str">
        <f t="shared" ref="AS191" si="302">IF(AU192="","",IF(OR(AA192="",AA192&lt;&gt;7,AC192="",AC192&lt;&gt;3),"！算定期間の終わりが令和７年３月になっていません。年度内の廃止予定等がなければ、算定対象月を令和７年３月にしてください。",""))</f>
        <v/>
      </c>
      <c r="AT191" s="577"/>
      <c r="AU191" s="1303"/>
      <c r="AV191" s="1304" t="str">
        <f>IF('別紙様式2-2（４・５月分）'!N147="","",'別紙様式2-2（４・５月分）'!N147)</f>
        <v/>
      </c>
      <c r="AW191" s="1305"/>
      <c r="AX191" s="1474"/>
      <c r="AY191" s="430"/>
      <c r="BD191" s="340"/>
      <c r="BE191" s="1303" t="str">
        <f>G190</f>
        <v/>
      </c>
      <c r="BF191" s="1303"/>
      <c r="BG191" s="1303"/>
    </row>
    <row r="192" spans="1:59" ht="15" customHeight="1">
      <c r="A192" s="1295"/>
      <c r="B192" s="1235"/>
      <c r="C192" s="1236"/>
      <c r="D192" s="1236"/>
      <c r="E192" s="1236"/>
      <c r="F192" s="1237"/>
      <c r="G192" s="1252"/>
      <c r="H192" s="1252"/>
      <c r="I192" s="1252"/>
      <c r="J192" s="1415"/>
      <c r="K192" s="1252"/>
      <c r="L192" s="1421"/>
      <c r="M192" s="1372"/>
      <c r="N192" s="1393"/>
      <c r="O192" s="1373" t="s">
        <v>2025</v>
      </c>
      <c r="P192" s="1425" t="str">
        <f>IFERROR(VLOOKUP('別紙様式2-2（４・５月分）'!AQ146,【参考】数式用!$AR$5:$AT$22,3,FALSE),"")</f>
        <v/>
      </c>
      <c r="Q192" s="1377" t="s">
        <v>2036</v>
      </c>
      <c r="R192" s="1508" t="str">
        <f>IFERROR(VLOOKUP(K190,【参考】数式用!$A$5:$AB$37,MATCH(P192,【参考】数式用!$B$4:$AB$4,0)+1,0),"")</f>
        <v/>
      </c>
      <c r="S192" s="1381" t="s">
        <v>2109</v>
      </c>
      <c r="T192" s="1510"/>
      <c r="U192" s="1506" t="str">
        <f>IFERROR(VLOOKUP(K190,【参考】数式用!$A$5:$AB$37,MATCH(T192,【参考】数式用!$B$4:$AB$4,0)+1,0),"")</f>
        <v/>
      </c>
      <c r="V192" s="1387" t="s">
        <v>15</v>
      </c>
      <c r="W192" s="1504"/>
      <c r="X192" s="1363" t="s">
        <v>10</v>
      </c>
      <c r="Y192" s="1504"/>
      <c r="Z192" s="1363" t="s">
        <v>38</v>
      </c>
      <c r="AA192" s="1504"/>
      <c r="AB192" s="1363" t="s">
        <v>10</v>
      </c>
      <c r="AC192" s="1504"/>
      <c r="AD192" s="1363" t="s">
        <v>2020</v>
      </c>
      <c r="AE192" s="1363" t="s">
        <v>20</v>
      </c>
      <c r="AF192" s="1363" t="str">
        <f>IF(W192&gt;=1,(AA192*12+AC192)-(W192*12+Y192)+1,"")</f>
        <v/>
      </c>
      <c r="AG192" s="1359" t="s">
        <v>33</v>
      </c>
      <c r="AH192" s="1365" t="str">
        <f t="shared" ref="AH192" si="303">IFERROR(ROUNDDOWN(ROUND(L190*U192,0),0)*AF192,"")</f>
        <v/>
      </c>
      <c r="AI192" s="1498" t="str">
        <f t="shared" ref="AI192" si="304">IFERROR(ROUNDDOWN(ROUND((L190*(U192-AW190)),0),0)*AF192,"")</f>
        <v/>
      </c>
      <c r="AJ192" s="1369" t="str">
        <f>IFERROR(ROUNDDOWN(ROUNDDOWN(ROUND(L190*VLOOKUP(K190,【参考】数式用!$A$5:$AB$27,MATCH("新加算Ⅳ",【参考】数式用!$B$4:$AB$4,0)+1,0),0),0)*AF192*0.5,0),"")</f>
        <v/>
      </c>
      <c r="AK192" s="1500"/>
      <c r="AL192" s="1502" t="str">
        <f>IFERROR(IF('別紙様式2-2（４・５月分）'!P192="ベア加算","", IF(OR(T192="新加算Ⅰ",T192="新加算Ⅱ",T192="新加算Ⅲ",T192="新加算Ⅳ"),ROUNDDOWN(ROUND(L190*VLOOKUP(K190,【参考】数式用!$A$5:$I$27,MATCH("ベア加算",【参考】数式用!$B$4:$I$4,0)+1,0),0),0)*AF192,"")),"")</f>
        <v/>
      </c>
      <c r="AM192" s="1494"/>
      <c r="AN192" s="1475"/>
      <c r="AO192" s="1496"/>
      <c r="AP192" s="1475"/>
      <c r="AQ192" s="1477"/>
      <c r="AR192" s="1479"/>
      <c r="AS192" s="1483"/>
      <c r="AT192" s="451"/>
      <c r="AU192" s="1303" t="str">
        <f>IF(AND(AA190&lt;&gt;7,AC190&lt;&gt;3),"V列に色付け","")</f>
        <v/>
      </c>
      <c r="AV192" s="1304"/>
      <c r="AW192" s="1305"/>
      <c r="AX192" s="574"/>
      <c r="AY192" s="1222" t="str">
        <f>IF(AL192&lt;&gt;"",IF(AM192="○","入力済","未入力"),"")</f>
        <v/>
      </c>
      <c r="AZ192" s="1222"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2" t="str">
        <f>IF(OR(T192="新加算Ⅴ（７）",T192="新加算Ⅴ（９）",T192="新加算Ⅴ（10）",T192="新加算Ⅴ（12）",T192="新加算Ⅴ（13）",T192="新加算Ⅴ（14）"),IF(OR(AO192="○",AO192="令和６年度中に満たす"),"入力済","未入力"),"")</f>
        <v/>
      </c>
      <c r="BB192" s="1222" t="str">
        <f>IF(OR(T192="新加算Ⅰ",T192="新加算Ⅱ",T192="新加算Ⅲ",T192="新加算Ⅴ（１）",T192="新加算Ⅴ（３）",T192="新加算Ⅴ（８）"),IF(OR(AP192="○",AP192="令和６年度中に満たす"),"入力済","未入力"),"")</f>
        <v/>
      </c>
      <c r="BC192" s="1472"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03" t="str">
        <f>IF(OR(T192="新加算Ⅰ",T192="新加算Ⅴ（１）",T192="新加算Ⅴ（２）",T192="新加算Ⅴ（５）",T192="新加算Ⅴ（７）",T192="新加算Ⅴ（10）"),IF(AR192="","未入力","入力済"),"")</f>
        <v/>
      </c>
      <c r="BE192" s="1303" t="str">
        <f>G190</f>
        <v/>
      </c>
      <c r="BF192" s="1303"/>
      <c r="BG192" s="1303"/>
    </row>
    <row r="193" spans="1:59" ht="30" customHeight="1" thickBot="1">
      <c r="A193" s="1268"/>
      <c r="B193" s="1411"/>
      <c r="C193" s="1412"/>
      <c r="D193" s="1412"/>
      <c r="E193" s="1412"/>
      <c r="F193" s="1413"/>
      <c r="G193" s="1253"/>
      <c r="H193" s="1253"/>
      <c r="I193" s="1253"/>
      <c r="J193" s="1416"/>
      <c r="K193" s="1253"/>
      <c r="L193" s="1422"/>
      <c r="M193" s="553" t="str">
        <f>IF('別紙様式2-2（４・５月分）'!P148="","",'別紙様式2-2（４・５月分）'!P148)</f>
        <v/>
      </c>
      <c r="N193" s="1394"/>
      <c r="O193" s="1374"/>
      <c r="P193" s="1426"/>
      <c r="Q193" s="1378"/>
      <c r="R193" s="1509"/>
      <c r="S193" s="1382"/>
      <c r="T193" s="1511"/>
      <c r="U193" s="1507"/>
      <c r="V193" s="1388"/>
      <c r="W193" s="1505"/>
      <c r="X193" s="1364"/>
      <c r="Y193" s="1505"/>
      <c r="Z193" s="1364"/>
      <c r="AA193" s="1505"/>
      <c r="AB193" s="1364"/>
      <c r="AC193" s="1505"/>
      <c r="AD193" s="1364"/>
      <c r="AE193" s="1364"/>
      <c r="AF193" s="1364"/>
      <c r="AG193" s="1360"/>
      <c r="AH193" s="1366"/>
      <c r="AI193" s="1499"/>
      <c r="AJ193" s="1370"/>
      <c r="AK193" s="1501"/>
      <c r="AL193" s="1503"/>
      <c r="AM193" s="1495"/>
      <c r="AN193" s="1476"/>
      <c r="AO193" s="1497"/>
      <c r="AP193" s="1476"/>
      <c r="AQ193" s="1478"/>
      <c r="AR193" s="1480"/>
      <c r="AS193" s="575"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1"/>
      <c r="AU193" s="1303"/>
      <c r="AV193" s="555" t="str">
        <f>IF('別紙様式2-2（４・５月分）'!N148="","",'別紙様式2-2（４・５月分）'!N148)</f>
        <v/>
      </c>
      <c r="AW193" s="1305"/>
      <c r="AX193" s="576"/>
      <c r="AY193" s="1222" t="str">
        <f>IF(OR(T193="新加算Ⅰ",T193="新加算Ⅱ",T193="新加算Ⅲ",T193="新加算Ⅳ",T193="新加算Ⅴ（１）",T193="新加算Ⅴ（２）",T193="新加算Ⅴ（３）",T193="新加算ⅠⅤ（４）",T193="新加算Ⅴ（５）",T193="新加算Ⅴ（６）",T193="新加算Ⅴ（８）",T193="新加算Ⅴ（11）"),IF(AI193="○","","未入力"),"")</f>
        <v/>
      </c>
      <c r="AZ193" s="1222" t="str">
        <f>IF(OR(U193="新加算Ⅰ",U193="新加算Ⅱ",U193="新加算Ⅲ",U193="新加算Ⅳ",U193="新加算Ⅴ（１）",U193="新加算Ⅴ（２）",U193="新加算Ⅴ（３）",U193="新加算ⅠⅤ（４）",U193="新加算Ⅴ（５）",U193="新加算Ⅴ（６）",U193="新加算Ⅴ（８）",U193="新加算Ⅴ（11）"),IF(AJ193="○","","未入力"),"")</f>
        <v/>
      </c>
      <c r="BA193" s="1222" t="str">
        <f>IF(OR(U193="新加算Ⅴ（７）",U193="新加算Ⅴ（９）",U193="新加算Ⅴ（10）",U193="新加算Ⅴ（12）",U193="新加算Ⅴ（13）",U193="新加算Ⅴ（14）"),IF(AK193="○","","未入力"),"")</f>
        <v/>
      </c>
      <c r="BB193" s="1222" t="str">
        <f>IF(OR(U193="新加算Ⅰ",U193="新加算Ⅱ",U193="新加算Ⅲ",U193="新加算Ⅴ（１）",U193="新加算Ⅴ（３）",U193="新加算Ⅴ（８）"),IF(AL193="○","","未入力"),"")</f>
        <v/>
      </c>
      <c r="BC193" s="1472"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03" t="str">
        <f>IF(AND(T193&lt;&gt;"（参考）令和７年度の移行予定",OR(U193="新加算Ⅰ",U193="新加算Ⅴ（１）",U193="新加算Ⅴ（２）",U193="新加算Ⅴ（５）",U193="新加算Ⅴ（７）",U193="新加算Ⅴ（10）")),IF(AN193="","未入力",IF(AN193="いずれも取得していない","要件を満たさない","")),"")</f>
        <v/>
      </c>
      <c r="BE193" s="1303" t="str">
        <f>G190</f>
        <v/>
      </c>
      <c r="BF193" s="1303"/>
      <c r="BG193" s="1303"/>
    </row>
    <row r="194" spans="1:59" ht="30" customHeight="1">
      <c r="A194" s="1293">
        <v>46</v>
      </c>
      <c r="B194" s="1235" t="str">
        <f>IF(基本情報入力シート!C99="","",基本情報入力シート!C99)</f>
        <v/>
      </c>
      <c r="C194" s="1236"/>
      <c r="D194" s="1236"/>
      <c r="E194" s="1236"/>
      <c r="F194" s="1237"/>
      <c r="G194" s="1252" t="str">
        <f>IF(基本情報入力シート!M99="","",基本情報入力シート!M99)</f>
        <v/>
      </c>
      <c r="H194" s="1252" t="str">
        <f>IF(基本情報入力シート!R99="","",基本情報入力シート!R99)</f>
        <v/>
      </c>
      <c r="I194" s="1252" t="str">
        <f>IF(基本情報入力シート!W99="","",基本情報入力シート!W99)</f>
        <v/>
      </c>
      <c r="J194" s="1415" t="str">
        <f>IF(基本情報入力シート!X99="","",基本情報入力シート!X99)</f>
        <v/>
      </c>
      <c r="K194" s="1252" t="str">
        <f>IF(基本情報入力シート!Y99="","",基本情報入力シート!Y99)</f>
        <v/>
      </c>
      <c r="L194" s="1421" t="str">
        <f>IF(基本情報入力シート!AB99="","",基本情報入力シート!AB99)</f>
        <v/>
      </c>
      <c r="M194" s="550" t="str">
        <f>IF('別紙様式2-2（４・５月分）'!P149="","",'別紙様式2-2（４・５月分）'!P149)</f>
        <v/>
      </c>
      <c r="N194" s="1391" t="str">
        <f>IF(SUM('別紙様式2-2（４・５月分）'!Q149:Q151)=0,"",SUM('別紙様式2-2（４・５月分）'!Q149:Q151))</f>
        <v/>
      </c>
      <c r="O194" s="1395" t="str">
        <f>IFERROR(VLOOKUP('別紙様式2-2（４・５月分）'!AQ149,【参考】数式用!$AR$5:$AS$22,2,FALSE),"")</f>
        <v/>
      </c>
      <c r="P194" s="1396"/>
      <c r="Q194" s="1397"/>
      <c r="R194" s="1531" t="str">
        <f>IFERROR(VLOOKUP(K194,【参考】数式用!$A$5:$AB$37,MATCH(O194,【参考】数式用!$B$4:$AB$4,0)+1,0),"")</f>
        <v/>
      </c>
      <c r="S194" s="1403" t="s">
        <v>2102</v>
      </c>
      <c r="T194" s="1527" t="str">
        <f>IF('別紙様式2-3（６月以降分）'!T194="","",'別紙様式2-3（６月以降分）'!T194)</f>
        <v/>
      </c>
      <c r="U194" s="1529" t="str">
        <f>IFERROR(VLOOKUP(K194,【参考】数式用!$A$5:$AB$37,MATCH(T194,【参考】数式用!$B$4:$AB$4,0)+1,0),"")</f>
        <v/>
      </c>
      <c r="V194" s="1409" t="s">
        <v>15</v>
      </c>
      <c r="W194" s="1525">
        <f>'別紙様式2-3（６月以降分）'!W194</f>
        <v>6</v>
      </c>
      <c r="X194" s="1349" t="s">
        <v>10</v>
      </c>
      <c r="Y194" s="1525">
        <f>'別紙様式2-3（６月以降分）'!Y194</f>
        <v>6</v>
      </c>
      <c r="Z194" s="1349" t="s">
        <v>38</v>
      </c>
      <c r="AA194" s="1525">
        <f>'別紙様式2-3（６月以降分）'!AA194</f>
        <v>7</v>
      </c>
      <c r="AB194" s="1349" t="s">
        <v>10</v>
      </c>
      <c r="AC194" s="1525">
        <f>'別紙様式2-3（６月以降分）'!AC194</f>
        <v>3</v>
      </c>
      <c r="AD194" s="1349" t="s">
        <v>2020</v>
      </c>
      <c r="AE194" s="1349" t="s">
        <v>20</v>
      </c>
      <c r="AF194" s="1349">
        <f>IF(W194&gt;=1,(AA194*12+AC194)-(W194*12+Y194)+1,"")</f>
        <v>10</v>
      </c>
      <c r="AG194" s="1351" t="s">
        <v>33</v>
      </c>
      <c r="AH194" s="1517" t="str">
        <f>'別紙様式2-3（６月以降分）'!AH194</f>
        <v/>
      </c>
      <c r="AI194" s="1519" t="str">
        <f>'別紙様式2-3（６月以降分）'!AI194</f>
        <v/>
      </c>
      <c r="AJ194" s="1521">
        <f>'別紙様式2-3（６月以降分）'!AJ194</f>
        <v>0</v>
      </c>
      <c r="AK194" s="1523" t="str">
        <f>IF('別紙様式2-3（６月以降分）'!AK194="","",'別紙様式2-3（６月以降分）'!AK194)</f>
        <v/>
      </c>
      <c r="AL194" s="1512">
        <f>'別紙様式2-3（６月以降分）'!AL194</f>
        <v>0</v>
      </c>
      <c r="AM194" s="1514" t="str">
        <f>IF('別紙様式2-3（６月以降分）'!AM194="","",'別紙様式2-3（６月以降分）'!AM194)</f>
        <v/>
      </c>
      <c r="AN194" s="1333" t="str">
        <f>IF('別紙様式2-3（６月以降分）'!AN194="","",'別紙様式2-3（６月以降分）'!AN194)</f>
        <v/>
      </c>
      <c r="AO194" s="1331" t="str">
        <f>IF('別紙様式2-3（６月以降分）'!AO194="","",'別紙様式2-3（６月以降分）'!AO194)</f>
        <v/>
      </c>
      <c r="AP194" s="1333" t="str">
        <f>IF('別紙様式2-3（６月以降分）'!AP194="","",'別紙様式2-3（６月以降分）'!AP194)</f>
        <v/>
      </c>
      <c r="AQ194" s="1481" t="str">
        <f>IF('別紙様式2-3（６月以降分）'!AQ194="","",'別紙様式2-3（６月以降分）'!AQ194)</f>
        <v/>
      </c>
      <c r="AR194" s="1484" t="str">
        <f>IF('別紙様式2-3（６月以降分）'!AR194="","",'別紙様式2-3（６月以降分）'!AR194)</f>
        <v/>
      </c>
      <c r="AS194" s="570" t="str">
        <f t="shared" ref="AS194" si="308">IF(AU196="","",IF(U196&lt;U194,"！加算の要件上は問題ありませんが、令和６年度当初の新加算の加算率と比較して、移行後の加算率が下がる計画になっています。",""))</f>
        <v/>
      </c>
      <c r="AT194" s="577"/>
      <c r="AU194" s="1301"/>
      <c r="AV194" s="555" t="str">
        <f>IF('別紙様式2-2（４・５月分）'!N149="","",'別紙様式2-2（４・５月分）'!N149)</f>
        <v/>
      </c>
      <c r="AW194" s="1305" t="str">
        <f>IF(SUM('別紙様式2-2（４・５月分）'!O149:O151)=0,"",SUM('別紙様式2-2（４・５月分）'!O149:O151))</f>
        <v/>
      </c>
      <c r="AX194" s="1473" t="str">
        <f>IFERROR(VLOOKUP(K194,【参考】数式用!$AH$2:$AI$34,2,FALSE),"")</f>
        <v/>
      </c>
      <c r="AY194" s="493"/>
      <c r="BD194" s="340"/>
      <c r="BE194" s="1303" t="str">
        <f>G194</f>
        <v/>
      </c>
      <c r="BF194" s="1303"/>
      <c r="BG194" s="1303"/>
    </row>
    <row r="195" spans="1:59" ht="15" customHeight="1">
      <c r="A195" s="1267"/>
      <c r="B195" s="1235"/>
      <c r="C195" s="1236"/>
      <c r="D195" s="1236"/>
      <c r="E195" s="1236"/>
      <c r="F195" s="1237"/>
      <c r="G195" s="1252"/>
      <c r="H195" s="1252"/>
      <c r="I195" s="1252"/>
      <c r="J195" s="1415"/>
      <c r="K195" s="1252"/>
      <c r="L195" s="1421"/>
      <c r="M195" s="1371" t="str">
        <f>IF('別紙様式2-2（４・５月分）'!P150="","",'別紙様式2-2（４・５月分）'!P150)</f>
        <v/>
      </c>
      <c r="N195" s="1392"/>
      <c r="O195" s="1398"/>
      <c r="P195" s="1399"/>
      <c r="Q195" s="1400"/>
      <c r="R195" s="1532"/>
      <c r="S195" s="1404"/>
      <c r="T195" s="1528"/>
      <c r="U195" s="1530"/>
      <c r="V195" s="1410"/>
      <c r="W195" s="1526"/>
      <c r="X195" s="1350"/>
      <c r="Y195" s="1526"/>
      <c r="Z195" s="1350"/>
      <c r="AA195" s="1526"/>
      <c r="AB195" s="1350"/>
      <c r="AC195" s="1526"/>
      <c r="AD195" s="1350"/>
      <c r="AE195" s="1350"/>
      <c r="AF195" s="1350"/>
      <c r="AG195" s="1352"/>
      <c r="AH195" s="1518"/>
      <c r="AI195" s="1520"/>
      <c r="AJ195" s="1522"/>
      <c r="AK195" s="1524"/>
      <c r="AL195" s="1513"/>
      <c r="AM195" s="1515"/>
      <c r="AN195" s="1334"/>
      <c r="AO195" s="1516"/>
      <c r="AP195" s="1334"/>
      <c r="AQ195" s="1482"/>
      <c r="AR195" s="1485"/>
      <c r="AS195" s="1483" t="str">
        <f t="shared" ref="AS195" si="309">IF(AU196="","",IF(OR(AA196="",AA196&lt;&gt;7,AC196="",AC196&lt;&gt;3),"！算定期間の終わりが令和７年３月になっていません。年度内の廃止予定等がなければ、算定対象月を令和７年３月にしてください。",""))</f>
        <v/>
      </c>
      <c r="AT195" s="577"/>
      <c r="AU195" s="1303"/>
      <c r="AV195" s="1304" t="str">
        <f>IF('別紙様式2-2（４・５月分）'!N150="","",'別紙様式2-2（４・５月分）'!N150)</f>
        <v/>
      </c>
      <c r="AW195" s="1305"/>
      <c r="AX195" s="1474"/>
      <c r="AY195" s="430"/>
      <c r="BD195" s="340"/>
      <c r="BE195" s="1303" t="str">
        <f>G194</f>
        <v/>
      </c>
      <c r="BF195" s="1303"/>
      <c r="BG195" s="1303"/>
    </row>
    <row r="196" spans="1:59" ht="15" customHeight="1">
      <c r="A196" s="1295"/>
      <c r="B196" s="1235"/>
      <c r="C196" s="1236"/>
      <c r="D196" s="1236"/>
      <c r="E196" s="1236"/>
      <c r="F196" s="1237"/>
      <c r="G196" s="1252"/>
      <c r="H196" s="1252"/>
      <c r="I196" s="1252"/>
      <c r="J196" s="1415"/>
      <c r="K196" s="1252"/>
      <c r="L196" s="1421"/>
      <c r="M196" s="1372"/>
      <c r="N196" s="1393"/>
      <c r="O196" s="1373" t="s">
        <v>2025</v>
      </c>
      <c r="P196" s="1425" t="str">
        <f>IFERROR(VLOOKUP('別紙様式2-2（４・５月分）'!AQ149,【参考】数式用!$AR$5:$AT$22,3,FALSE),"")</f>
        <v/>
      </c>
      <c r="Q196" s="1377" t="s">
        <v>2036</v>
      </c>
      <c r="R196" s="1508" t="str">
        <f>IFERROR(VLOOKUP(K194,【参考】数式用!$A$5:$AB$37,MATCH(P196,【参考】数式用!$B$4:$AB$4,0)+1,0),"")</f>
        <v/>
      </c>
      <c r="S196" s="1381" t="s">
        <v>2109</v>
      </c>
      <c r="T196" s="1510"/>
      <c r="U196" s="1506" t="str">
        <f>IFERROR(VLOOKUP(K194,【参考】数式用!$A$5:$AB$37,MATCH(T196,【参考】数式用!$B$4:$AB$4,0)+1,0),"")</f>
        <v/>
      </c>
      <c r="V196" s="1387" t="s">
        <v>15</v>
      </c>
      <c r="W196" s="1504"/>
      <c r="X196" s="1363" t="s">
        <v>10</v>
      </c>
      <c r="Y196" s="1504"/>
      <c r="Z196" s="1363" t="s">
        <v>38</v>
      </c>
      <c r="AA196" s="1504"/>
      <c r="AB196" s="1363" t="s">
        <v>10</v>
      </c>
      <c r="AC196" s="1504"/>
      <c r="AD196" s="1363" t="s">
        <v>2020</v>
      </c>
      <c r="AE196" s="1363" t="s">
        <v>20</v>
      </c>
      <c r="AF196" s="1363" t="str">
        <f>IF(W196&gt;=1,(AA196*12+AC196)-(W196*12+Y196)+1,"")</f>
        <v/>
      </c>
      <c r="AG196" s="1359" t="s">
        <v>33</v>
      </c>
      <c r="AH196" s="1365" t="str">
        <f t="shared" ref="AH196" si="310">IFERROR(ROUNDDOWN(ROUND(L194*U196,0),0)*AF196,"")</f>
        <v/>
      </c>
      <c r="AI196" s="1498" t="str">
        <f t="shared" ref="AI196" si="311">IFERROR(ROUNDDOWN(ROUND((L194*(U196-AW194)),0),0)*AF196,"")</f>
        <v/>
      </c>
      <c r="AJ196" s="1369" t="str">
        <f>IFERROR(ROUNDDOWN(ROUNDDOWN(ROUND(L194*VLOOKUP(K194,【参考】数式用!$A$5:$AB$27,MATCH("新加算Ⅳ",【参考】数式用!$B$4:$AB$4,0)+1,0),0),0)*AF196*0.5,0),"")</f>
        <v/>
      </c>
      <c r="AK196" s="1500"/>
      <c r="AL196" s="1502" t="str">
        <f>IFERROR(IF('別紙様式2-2（４・５月分）'!P196="ベア加算","", IF(OR(T196="新加算Ⅰ",T196="新加算Ⅱ",T196="新加算Ⅲ",T196="新加算Ⅳ"),ROUNDDOWN(ROUND(L194*VLOOKUP(K194,【参考】数式用!$A$5:$I$27,MATCH("ベア加算",【参考】数式用!$B$4:$I$4,0)+1,0),0),0)*AF196,"")),"")</f>
        <v/>
      </c>
      <c r="AM196" s="1494"/>
      <c r="AN196" s="1475"/>
      <c r="AO196" s="1496"/>
      <c r="AP196" s="1475"/>
      <c r="AQ196" s="1477"/>
      <c r="AR196" s="1479"/>
      <c r="AS196" s="1483"/>
      <c r="AT196" s="451"/>
      <c r="AU196" s="1303" t="str">
        <f>IF(AND(AA194&lt;&gt;7,AC194&lt;&gt;3),"V列に色付け","")</f>
        <v/>
      </c>
      <c r="AV196" s="1304"/>
      <c r="AW196" s="1305"/>
      <c r="AX196" s="574"/>
      <c r="AY196" s="1222" t="str">
        <f>IF(AL196&lt;&gt;"",IF(AM196="○","入力済","未入力"),"")</f>
        <v/>
      </c>
      <c r="AZ196" s="1222"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2" t="str">
        <f>IF(OR(T196="新加算Ⅴ（７）",T196="新加算Ⅴ（９）",T196="新加算Ⅴ（10）",T196="新加算Ⅴ（12）",T196="新加算Ⅴ（13）",T196="新加算Ⅴ（14）"),IF(OR(AO196="○",AO196="令和６年度中に満たす"),"入力済","未入力"),"")</f>
        <v/>
      </c>
      <c r="BB196" s="1222" t="str">
        <f>IF(OR(T196="新加算Ⅰ",T196="新加算Ⅱ",T196="新加算Ⅲ",T196="新加算Ⅴ（１）",T196="新加算Ⅴ（３）",T196="新加算Ⅴ（８）"),IF(OR(AP196="○",AP196="令和６年度中に満たす"),"入力済","未入力"),"")</f>
        <v/>
      </c>
      <c r="BC196" s="1472"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03" t="str">
        <f>IF(OR(T196="新加算Ⅰ",T196="新加算Ⅴ（１）",T196="新加算Ⅴ（２）",T196="新加算Ⅴ（５）",T196="新加算Ⅴ（７）",T196="新加算Ⅴ（10）"),IF(AR196="","未入力","入力済"),"")</f>
        <v/>
      </c>
      <c r="BE196" s="1303" t="str">
        <f>G194</f>
        <v/>
      </c>
      <c r="BF196" s="1303"/>
      <c r="BG196" s="1303"/>
    </row>
    <row r="197" spans="1:59" ht="30" customHeight="1" thickBot="1">
      <c r="A197" s="1268"/>
      <c r="B197" s="1411"/>
      <c r="C197" s="1412"/>
      <c r="D197" s="1412"/>
      <c r="E197" s="1412"/>
      <c r="F197" s="1413"/>
      <c r="G197" s="1253"/>
      <c r="H197" s="1253"/>
      <c r="I197" s="1253"/>
      <c r="J197" s="1416"/>
      <c r="K197" s="1253"/>
      <c r="L197" s="1422"/>
      <c r="M197" s="553" t="str">
        <f>IF('別紙様式2-2（４・５月分）'!P151="","",'別紙様式2-2（４・５月分）'!P151)</f>
        <v/>
      </c>
      <c r="N197" s="1394"/>
      <c r="O197" s="1374"/>
      <c r="P197" s="1426"/>
      <c r="Q197" s="1378"/>
      <c r="R197" s="1509"/>
      <c r="S197" s="1382"/>
      <c r="T197" s="1511"/>
      <c r="U197" s="1507"/>
      <c r="V197" s="1388"/>
      <c r="W197" s="1505"/>
      <c r="X197" s="1364"/>
      <c r="Y197" s="1505"/>
      <c r="Z197" s="1364"/>
      <c r="AA197" s="1505"/>
      <c r="AB197" s="1364"/>
      <c r="AC197" s="1505"/>
      <c r="AD197" s="1364"/>
      <c r="AE197" s="1364"/>
      <c r="AF197" s="1364"/>
      <c r="AG197" s="1360"/>
      <c r="AH197" s="1366"/>
      <c r="AI197" s="1499"/>
      <c r="AJ197" s="1370"/>
      <c r="AK197" s="1501"/>
      <c r="AL197" s="1503"/>
      <c r="AM197" s="1495"/>
      <c r="AN197" s="1476"/>
      <c r="AO197" s="1497"/>
      <c r="AP197" s="1476"/>
      <c r="AQ197" s="1478"/>
      <c r="AR197" s="1480"/>
      <c r="AS197" s="575"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1"/>
      <c r="AU197" s="1303"/>
      <c r="AV197" s="555" t="str">
        <f>IF('別紙様式2-2（４・５月分）'!N151="","",'別紙様式2-2（４・５月分）'!N151)</f>
        <v/>
      </c>
      <c r="AW197" s="1305"/>
      <c r="AX197" s="576"/>
      <c r="AY197" s="1222" t="str">
        <f>IF(OR(T197="新加算Ⅰ",T197="新加算Ⅱ",T197="新加算Ⅲ",T197="新加算Ⅳ",T197="新加算Ⅴ（１）",T197="新加算Ⅴ（２）",T197="新加算Ⅴ（３）",T197="新加算ⅠⅤ（４）",T197="新加算Ⅴ（５）",T197="新加算Ⅴ（６）",T197="新加算Ⅴ（８）",T197="新加算Ⅴ（11）"),IF(AI197="○","","未入力"),"")</f>
        <v/>
      </c>
      <c r="AZ197" s="1222" t="str">
        <f>IF(OR(U197="新加算Ⅰ",U197="新加算Ⅱ",U197="新加算Ⅲ",U197="新加算Ⅳ",U197="新加算Ⅴ（１）",U197="新加算Ⅴ（２）",U197="新加算Ⅴ（３）",U197="新加算ⅠⅤ（４）",U197="新加算Ⅴ（５）",U197="新加算Ⅴ（６）",U197="新加算Ⅴ（８）",U197="新加算Ⅴ（11）"),IF(AJ197="○","","未入力"),"")</f>
        <v/>
      </c>
      <c r="BA197" s="1222" t="str">
        <f>IF(OR(U197="新加算Ⅴ（７）",U197="新加算Ⅴ（９）",U197="新加算Ⅴ（10）",U197="新加算Ⅴ（12）",U197="新加算Ⅴ（13）",U197="新加算Ⅴ（14）"),IF(AK197="○","","未入力"),"")</f>
        <v/>
      </c>
      <c r="BB197" s="1222" t="str">
        <f>IF(OR(U197="新加算Ⅰ",U197="新加算Ⅱ",U197="新加算Ⅲ",U197="新加算Ⅴ（１）",U197="新加算Ⅴ（３）",U197="新加算Ⅴ（８）"),IF(AL197="○","","未入力"),"")</f>
        <v/>
      </c>
      <c r="BC197" s="1472"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03" t="str">
        <f>IF(AND(T197&lt;&gt;"（参考）令和７年度の移行予定",OR(U197="新加算Ⅰ",U197="新加算Ⅴ（１）",U197="新加算Ⅴ（２）",U197="新加算Ⅴ（５）",U197="新加算Ⅴ（７）",U197="新加算Ⅴ（10）")),IF(AN197="","未入力",IF(AN197="いずれも取得していない","要件を満たさない","")),"")</f>
        <v/>
      </c>
      <c r="BE197" s="1303" t="str">
        <f>G194</f>
        <v/>
      </c>
      <c r="BF197" s="1303"/>
      <c r="BG197" s="1303"/>
    </row>
    <row r="198" spans="1:59" ht="30" customHeight="1">
      <c r="A198" s="1266">
        <v>47</v>
      </c>
      <c r="B198" s="1232" t="str">
        <f>IF(基本情報入力シート!C100="","",基本情報入力シート!C100)</f>
        <v/>
      </c>
      <c r="C198" s="1233"/>
      <c r="D198" s="1233"/>
      <c r="E198" s="1233"/>
      <c r="F198" s="1234"/>
      <c r="G198" s="1251" t="str">
        <f>IF(基本情報入力シート!M100="","",基本情報入力シート!M100)</f>
        <v/>
      </c>
      <c r="H198" s="1251" t="str">
        <f>IF(基本情報入力シート!R100="","",基本情報入力シート!R100)</f>
        <v/>
      </c>
      <c r="I198" s="1251" t="str">
        <f>IF(基本情報入力シート!W100="","",基本情報入力シート!W100)</f>
        <v/>
      </c>
      <c r="J198" s="1414" t="str">
        <f>IF(基本情報入力シート!X100="","",基本情報入力シート!X100)</f>
        <v/>
      </c>
      <c r="K198" s="1251" t="str">
        <f>IF(基本情報入力シート!Y100="","",基本情報入力シート!Y100)</f>
        <v/>
      </c>
      <c r="L198" s="1427" t="str">
        <f>IF(基本情報入力シート!AB100="","",基本情報入力シート!AB100)</f>
        <v/>
      </c>
      <c r="M198" s="550" t="str">
        <f>IF('別紙様式2-2（４・５月分）'!P152="","",'別紙様式2-2（４・５月分）'!P152)</f>
        <v/>
      </c>
      <c r="N198" s="1391" t="str">
        <f>IF(SUM('別紙様式2-2（４・５月分）'!Q152:Q154)=0,"",SUM('別紙様式2-2（４・５月分）'!Q152:Q154))</f>
        <v/>
      </c>
      <c r="O198" s="1395" t="str">
        <f>IFERROR(VLOOKUP('別紙様式2-2（４・５月分）'!AQ152,【参考】数式用!$AR$5:$AS$22,2,FALSE),"")</f>
        <v/>
      </c>
      <c r="P198" s="1396"/>
      <c r="Q198" s="1397"/>
      <c r="R198" s="1531" t="str">
        <f>IFERROR(VLOOKUP(K198,【参考】数式用!$A$5:$AB$37,MATCH(O198,【参考】数式用!$B$4:$AB$4,0)+1,0),"")</f>
        <v/>
      </c>
      <c r="S198" s="1403" t="s">
        <v>2102</v>
      </c>
      <c r="T198" s="1527" t="str">
        <f>IF('別紙様式2-3（６月以降分）'!T198="","",'別紙様式2-3（６月以降分）'!T198)</f>
        <v/>
      </c>
      <c r="U198" s="1529" t="str">
        <f>IFERROR(VLOOKUP(K198,【参考】数式用!$A$5:$AB$37,MATCH(T198,【参考】数式用!$B$4:$AB$4,0)+1,0),"")</f>
        <v/>
      </c>
      <c r="V198" s="1409" t="s">
        <v>15</v>
      </c>
      <c r="W198" s="1525">
        <f>'別紙様式2-3（６月以降分）'!W198</f>
        <v>6</v>
      </c>
      <c r="X198" s="1349" t="s">
        <v>10</v>
      </c>
      <c r="Y198" s="1525">
        <f>'別紙様式2-3（６月以降分）'!Y198</f>
        <v>6</v>
      </c>
      <c r="Z198" s="1349" t="s">
        <v>38</v>
      </c>
      <c r="AA198" s="1525">
        <f>'別紙様式2-3（６月以降分）'!AA198</f>
        <v>7</v>
      </c>
      <c r="AB198" s="1349" t="s">
        <v>10</v>
      </c>
      <c r="AC198" s="1525">
        <f>'別紙様式2-3（６月以降分）'!AC198</f>
        <v>3</v>
      </c>
      <c r="AD198" s="1349" t="s">
        <v>2020</v>
      </c>
      <c r="AE198" s="1349" t="s">
        <v>20</v>
      </c>
      <c r="AF198" s="1349">
        <f>IF(W198&gt;=1,(AA198*12+AC198)-(W198*12+Y198)+1,"")</f>
        <v>10</v>
      </c>
      <c r="AG198" s="1351" t="s">
        <v>33</v>
      </c>
      <c r="AH198" s="1517" t="str">
        <f>'別紙様式2-3（６月以降分）'!AH198</f>
        <v/>
      </c>
      <c r="AI198" s="1519" t="str">
        <f>'別紙様式2-3（６月以降分）'!AI198</f>
        <v/>
      </c>
      <c r="AJ198" s="1521">
        <f>'別紙様式2-3（６月以降分）'!AJ198</f>
        <v>0</v>
      </c>
      <c r="AK198" s="1523" t="str">
        <f>IF('別紙様式2-3（６月以降分）'!AK198="","",'別紙様式2-3（６月以降分）'!AK198)</f>
        <v/>
      </c>
      <c r="AL198" s="1512">
        <f>'別紙様式2-3（６月以降分）'!AL198</f>
        <v>0</v>
      </c>
      <c r="AM198" s="1514" t="str">
        <f>IF('別紙様式2-3（６月以降分）'!AM198="","",'別紙様式2-3（６月以降分）'!AM198)</f>
        <v/>
      </c>
      <c r="AN198" s="1333" t="str">
        <f>IF('別紙様式2-3（６月以降分）'!AN198="","",'別紙様式2-3（６月以降分）'!AN198)</f>
        <v/>
      </c>
      <c r="AO198" s="1331" t="str">
        <f>IF('別紙様式2-3（６月以降分）'!AO198="","",'別紙様式2-3（６月以降分）'!AO198)</f>
        <v/>
      </c>
      <c r="AP198" s="1333" t="str">
        <f>IF('別紙様式2-3（６月以降分）'!AP198="","",'別紙様式2-3（６月以降分）'!AP198)</f>
        <v/>
      </c>
      <c r="AQ198" s="1481" t="str">
        <f>IF('別紙様式2-3（６月以降分）'!AQ198="","",'別紙様式2-3（６月以降分）'!AQ198)</f>
        <v/>
      </c>
      <c r="AR198" s="1484" t="str">
        <f>IF('別紙様式2-3（６月以降分）'!AR198="","",'別紙様式2-3（６月以降分）'!AR198)</f>
        <v/>
      </c>
      <c r="AS198" s="570" t="str">
        <f t="shared" ref="AS198" si="315">IF(AU200="","",IF(U200&lt;U198,"！加算の要件上は問題ありませんが、令和６年度当初の新加算の加算率と比較して、移行後の加算率が下がる計画になっています。",""))</f>
        <v/>
      </c>
      <c r="AT198" s="577"/>
      <c r="AU198" s="1301"/>
      <c r="AV198" s="555" t="str">
        <f>IF('別紙様式2-2（４・５月分）'!N152="","",'別紙様式2-2（４・５月分）'!N152)</f>
        <v/>
      </c>
      <c r="AW198" s="1305" t="str">
        <f>IF(SUM('別紙様式2-2（４・５月分）'!O152:O154)=0,"",SUM('別紙様式2-2（４・５月分）'!O152:O154))</f>
        <v/>
      </c>
      <c r="AX198" s="1473" t="str">
        <f>IFERROR(VLOOKUP(K198,【参考】数式用!$AH$2:$AI$34,2,FALSE),"")</f>
        <v/>
      </c>
      <c r="AY198" s="493"/>
      <c r="BD198" s="340"/>
      <c r="BE198" s="1303" t="str">
        <f>G198</f>
        <v/>
      </c>
      <c r="BF198" s="1303"/>
      <c r="BG198" s="1303"/>
    </row>
    <row r="199" spans="1:59" ht="15" customHeight="1">
      <c r="A199" s="1267"/>
      <c r="B199" s="1235"/>
      <c r="C199" s="1236"/>
      <c r="D199" s="1236"/>
      <c r="E199" s="1236"/>
      <c r="F199" s="1237"/>
      <c r="G199" s="1252"/>
      <c r="H199" s="1252"/>
      <c r="I199" s="1252"/>
      <c r="J199" s="1415"/>
      <c r="K199" s="1252"/>
      <c r="L199" s="1421"/>
      <c r="M199" s="1371" t="str">
        <f>IF('別紙様式2-2（４・５月分）'!P153="","",'別紙様式2-2（４・５月分）'!P153)</f>
        <v/>
      </c>
      <c r="N199" s="1392"/>
      <c r="O199" s="1398"/>
      <c r="P199" s="1399"/>
      <c r="Q199" s="1400"/>
      <c r="R199" s="1532"/>
      <c r="S199" s="1404"/>
      <c r="T199" s="1528"/>
      <c r="U199" s="1530"/>
      <c r="V199" s="1410"/>
      <c r="W199" s="1526"/>
      <c r="X199" s="1350"/>
      <c r="Y199" s="1526"/>
      <c r="Z199" s="1350"/>
      <c r="AA199" s="1526"/>
      <c r="AB199" s="1350"/>
      <c r="AC199" s="1526"/>
      <c r="AD199" s="1350"/>
      <c r="AE199" s="1350"/>
      <c r="AF199" s="1350"/>
      <c r="AG199" s="1352"/>
      <c r="AH199" s="1518"/>
      <c r="AI199" s="1520"/>
      <c r="AJ199" s="1522"/>
      <c r="AK199" s="1524"/>
      <c r="AL199" s="1513"/>
      <c r="AM199" s="1515"/>
      <c r="AN199" s="1334"/>
      <c r="AO199" s="1516"/>
      <c r="AP199" s="1334"/>
      <c r="AQ199" s="1482"/>
      <c r="AR199" s="1485"/>
      <c r="AS199" s="1483" t="str">
        <f t="shared" ref="AS199" si="316">IF(AU200="","",IF(OR(AA200="",AA200&lt;&gt;7,AC200="",AC200&lt;&gt;3),"！算定期間の終わりが令和７年３月になっていません。年度内の廃止予定等がなければ、算定対象月を令和７年３月にしてください。",""))</f>
        <v/>
      </c>
      <c r="AT199" s="577"/>
      <c r="AU199" s="1303"/>
      <c r="AV199" s="1304" t="str">
        <f>IF('別紙様式2-2（４・５月分）'!N153="","",'別紙様式2-2（４・５月分）'!N153)</f>
        <v/>
      </c>
      <c r="AW199" s="1305"/>
      <c r="AX199" s="1474"/>
      <c r="AY199" s="430"/>
      <c r="BD199" s="340"/>
      <c r="BE199" s="1303" t="str">
        <f>G198</f>
        <v/>
      </c>
      <c r="BF199" s="1303"/>
      <c r="BG199" s="1303"/>
    </row>
    <row r="200" spans="1:59" ht="15" customHeight="1">
      <c r="A200" s="1295"/>
      <c r="B200" s="1235"/>
      <c r="C200" s="1236"/>
      <c r="D200" s="1236"/>
      <c r="E200" s="1236"/>
      <c r="F200" s="1237"/>
      <c r="G200" s="1252"/>
      <c r="H200" s="1252"/>
      <c r="I200" s="1252"/>
      <c r="J200" s="1415"/>
      <c r="K200" s="1252"/>
      <c r="L200" s="1421"/>
      <c r="M200" s="1372"/>
      <c r="N200" s="1393"/>
      <c r="O200" s="1373" t="s">
        <v>2025</v>
      </c>
      <c r="P200" s="1425" t="str">
        <f>IFERROR(VLOOKUP('別紙様式2-2（４・５月分）'!AQ152,【参考】数式用!$AR$5:$AT$22,3,FALSE),"")</f>
        <v/>
      </c>
      <c r="Q200" s="1377" t="s">
        <v>2036</v>
      </c>
      <c r="R200" s="1508" t="str">
        <f>IFERROR(VLOOKUP(K198,【参考】数式用!$A$5:$AB$37,MATCH(P200,【参考】数式用!$B$4:$AB$4,0)+1,0),"")</f>
        <v/>
      </c>
      <c r="S200" s="1381" t="s">
        <v>2109</v>
      </c>
      <c r="T200" s="1510"/>
      <c r="U200" s="1506" t="str">
        <f>IFERROR(VLOOKUP(K198,【参考】数式用!$A$5:$AB$37,MATCH(T200,【参考】数式用!$B$4:$AB$4,0)+1,0),"")</f>
        <v/>
      </c>
      <c r="V200" s="1387" t="s">
        <v>15</v>
      </c>
      <c r="W200" s="1504"/>
      <c r="X200" s="1363" t="s">
        <v>10</v>
      </c>
      <c r="Y200" s="1504"/>
      <c r="Z200" s="1363" t="s">
        <v>38</v>
      </c>
      <c r="AA200" s="1504"/>
      <c r="AB200" s="1363" t="s">
        <v>10</v>
      </c>
      <c r="AC200" s="1504"/>
      <c r="AD200" s="1363" t="s">
        <v>2020</v>
      </c>
      <c r="AE200" s="1363" t="s">
        <v>20</v>
      </c>
      <c r="AF200" s="1363" t="str">
        <f>IF(W200&gt;=1,(AA200*12+AC200)-(W200*12+Y200)+1,"")</f>
        <v/>
      </c>
      <c r="AG200" s="1359" t="s">
        <v>33</v>
      </c>
      <c r="AH200" s="1365" t="str">
        <f t="shared" ref="AH200" si="317">IFERROR(ROUNDDOWN(ROUND(L198*U200,0),0)*AF200,"")</f>
        <v/>
      </c>
      <c r="AI200" s="1498" t="str">
        <f t="shared" ref="AI200" si="318">IFERROR(ROUNDDOWN(ROUND((L198*(U200-AW198)),0),0)*AF200,"")</f>
        <v/>
      </c>
      <c r="AJ200" s="1369" t="str">
        <f>IFERROR(ROUNDDOWN(ROUNDDOWN(ROUND(L198*VLOOKUP(K198,【参考】数式用!$A$5:$AB$27,MATCH("新加算Ⅳ",【参考】数式用!$B$4:$AB$4,0)+1,0),0),0)*AF200*0.5,0),"")</f>
        <v/>
      </c>
      <c r="AK200" s="1500"/>
      <c r="AL200" s="1502" t="str">
        <f>IFERROR(IF('別紙様式2-2（４・５月分）'!P200="ベア加算","", IF(OR(T200="新加算Ⅰ",T200="新加算Ⅱ",T200="新加算Ⅲ",T200="新加算Ⅳ"),ROUNDDOWN(ROUND(L198*VLOOKUP(K198,【参考】数式用!$A$5:$I$27,MATCH("ベア加算",【参考】数式用!$B$4:$I$4,0)+1,0),0),0)*AF200,"")),"")</f>
        <v/>
      </c>
      <c r="AM200" s="1494"/>
      <c r="AN200" s="1475"/>
      <c r="AO200" s="1496"/>
      <c r="AP200" s="1475"/>
      <c r="AQ200" s="1477"/>
      <c r="AR200" s="1479"/>
      <c r="AS200" s="1483"/>
      <c r="AT200" s="451"/>
      <c r="AU200" s="1303" t="str">
        <f>IF(AND(AA198&lt;&gt;7,AC198&lt;&gt;3),"V列に色付け","")</f>
        <v/>
      </c>
      <c r="AV200" s="1304"/>
      <c r="AW200" s="1305"/>
      <c r="AX200" s="574"/>
      <c r="AY200" s="1222" t="str">
        <f>IF(AL200&lt;&gt;"",IF(AM200="○","入力済","未入力"),"")</f>
        <v/>
      </c>
      <c r="AZ200" s="1222"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2" t="str">
        <f>IF(OR(T200="新加算Ⅴ（７）",T200="新加算Ⅴ（９）",T200="新加算Ⅴ（10）",T200="新加算Ⅴ（12）",T200="新加算Ⅴ（13）",T200="新加算Ⅴ（14）"),IF(OR(AO200="○",AO200="令和６年度中に満たす"),"入力済","未入力"),"")</f>
        <v/>
      </c>
      <c r="BB200" s="1222" t="str">
        <f>IF(OR(T200="新加算Ⅰ",T200="新加算Ⅱ",T200="新加算Ⅲ",T200="新加算Ⅴ（１）",T200="新加算Ⅴ（３）",T200="新加算Ⅴ（８）"),IF(OR(AP200="○",AP200="令和６年度中に満たす"),"入力済","未入力"),"")</f>
        <v/>
      </c>
      <c r="BC200" s="1472"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03" t="str">
        <f>IF(OR(T200="新加算Ⅰ",T200="新加算Ⅴ（１）",T200="新加算Ⅴ（２）",T200="新加算Ⅴ（５）",T200="新加算Ⅴ（７）",T200="新加算Ⅴ（10）"),IF(AR200="","未入力","入力済"),"")</f>
        <v/>
      </c>
      <c r="BE200" s="1303" t="str">
        <f>G198</f>
        <v/>
      </c>
      <c r="BF200" s="1303"/>
      <c r="BG200" s="1303"/>
    </row>
    <row r="201" spans="1:59" ht="30" customHeight="1" thickBot="1">
      <c r="A201" s="1268"/>
      <c r="B201" s="1411"/>
      <c r="C201" s="1412"/>
      <c r="D201" s="1412"/>
      <c r="E201" s="1412"/>
      <c r="F201" s="1413"/>
      <c r="G201" s="1253"/>
      <c r="H201" s="1253"/>
      <c r="I201" s="1253"/>
      <c r="J201" s="1416"/>
      <c r="K201" s="1253"/>
      <c r="L201" s="1422"/>
      <c r="M201" s="553" t="str">
        <f>IF('別紙様式2-2（４・５月分）'!P154="","",'別紙様式2-2（４・５月分）'!P154)</f>
        <v/>
      </c>
      <c r="N201" s="1394"/>
      <c r="O201" s="1374"/>
      <c r="P201" s="1426"/>
      <c r="Q201" s="1378"/>
      <c r="R201" s="1509"/>
      <c r="S201" s="1382"/>
      <c r="T201" s="1511"/>
      <c r="U201" s="1507"/>
      <c r="V201" s="1388"/>
      <c r="W201" s="1505"/>
      <c r="X201" s="1364"/>
      <c r="Y201" s="1505"/>
      <c r="Z201" s="1364"/>
      <c r="AA201" s="1505"/>
      <c r="AB201" s="1364"/>
      <c r="AC201" s="1505"/>
      <c r="AD201" s="1364"/>
      <c r="AE201" s="1364"/>
      <c r="AF201" s="1364"/>
      <c r="AG201" s="1360"/>
      <c r="AH201" s="1366"/>
      <c r="AI201" s="1499"/>
      <c r="AJ201" s="1370"/>
      <c r="AK201" s="1501"/>
      <c r="AL201" s="1503"/>
      <c r="AM201" s="1495"/>
      <c r="AN201" s="1476"/>
      <c r="AO201" s="1497"/>
      <c r="AP201" s="1476"/>
      <c r="AQ201" s="1478"/>
      <c r="AR201" s="1480"/>
      <c r="AS201" s="575"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1"/>
      <c r="AU201" s="1303"/>
      <c r="AV201" s="555" t="str">
        <f>IF('別紙様式2-2（４・５月分）'!N154="","",'別紙様式2-2（４・５月分）'!N154)</f>
        <v/>
      </c>
      <c r="AW201" s="1305"/>
      <c r="AX201" s="576"/>
      <c r="AY201" s="1222" t="str">
        <f>IF(OR(T201="新加算Ⅰ",T201="新加算Ⅱ",T201="新加算Ⅲ",T201="新加算Ⅳ",T201="新加算Ⅴ（１）",T201="新加算Ⅴ（２）",T201="新加算Ⅴ（３）",T201="新加算ⅠⅤ（４）",T201="新加算Ⅴ（５）",T201="新加算Ⅴ（６）",T201="新加算Ⅴ（８）",T201="新加算Ⅴ（11）"),IF(AI201="○","","未入力"),"")</f>
        <v/>
      </c>
      <c r="AZ201" s="1222" t="str">
        <f>IF(OR(U201="新加算Ⅰ",U201="新加算Ⅱ",U201="新加算Ⅲ",U201="新加算Ⅳ",U201="新加算Ⅴ（１）",U201="新加算Ⅴ（２）",U201="新加算Ⅴ（３）",U201="新加算ⅠⅤ（４）",U201="新加算Ⅴ（５）",U201="新加算Ⅴ（６）",U201="新加算Ⅴ（８）",U201="新加算Ⅴ（11）"),IF(AJ201="○","","未入力"),"")</f>
        <v/>
      </c>
      <c r="BA201" s="1222" t="str">
        <f>IF(OR(U201="新加算Ⅴ（７）",U201="新加算Ⅴ（９）",U201="新加算Ⅴ（10）",U201="新加算Ⅴ（12）",U201="新加算Ⅴ（13）",U201="新加算Ⅴ（14）"),IF(AK201="○","","未入力"),"")</f>
        <v/>
      </c>
      <c r="BB201" s="1222" t="str">
        <f>IF(OR(U201="新加算Ⅰ",U201="新加算Ⅱ",U201="新加算Ⅲ",U201="新加算Ⅴ（１）",U201="新加算Ⅴ（３）",U201="新加算Ⅴ（８）"),IF(AL201="○","","未入力"),"")</f>
        <v/>
      </c>
      <c r="BC201" s="1472"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03" t="str">
        <f>IF(AND(T201&lt;&gt;"（参考）令和７年度の移行予定",OR(U201="新加算Ⅰ",U201="新加算Ⅴ（１）",U201="新加算Ⅴ（２）",U201="新加算Ⅴ（５）",U201="新加算Ⅴ（７）",U201="新加算Ⅴ（10）")),IF(AN201="","未入力",IF(AN201="いずれも取得していない","要件を満たさない","")),"")</f>
        <v/>
      </c>
      <c r="BE201" s="1303" t="str">
        <f>G198</f>
        <v/>
      </c>
      <c r="BF201" s="1303"/>
      <c r="BG201" s="1303"/>
    </row>
    <row r="202" spans="1:59" ht="30" customHeight="1">
      <c r="A202" s="1293">
        <v>48</v>
      </c>
      <c r="B202" s="1235" t="str">
        <f>IF(基本情報入力シート!C101="","",基本情報入力シート!C101)</f>
        <v/>
      </c>
      <c r="C202" s="1236"/>
      <c r="D202" s="1236"/>
      <c r="E202" s="1236"/>
      <c r="F202" s="1237"/>
      <c r="G202" s="1252" t="str">
        <f>IF(基本情報入力シート!M101="","",基本情報入力シート!M101)</f>
        <v/>
      </c>
      <c r="H202" s="1252" t="str">
        <f>IF(基本情報入力シート!R101="","",基本情報入力シート!R101)</f>
        <v/>
      </c>
      <c r="I202" s="1252" t="str">
        <f>IF(基本情報入力シート!W101="","",基本情報入力シート!W101)</f>
        <v/>
      </c>
      <c r="J202" s="1415" t="str">
        <f>IF(基本情報入力シート!X101="","",基本情報入力シート!X101)</f>
        <v/>
      </c>
      <c r="K202" s="1252" t="str">
        <f>IF(基本情報入力シート!Y101="","",基本情報入力シート!Y101)</f>
        <v/>
      </c>
      <c r="L202" s="1421" t="str">
        <f>IF(基本情報入力シート!AB101="","",基本情報入力シート!AB101)</f>
        <v/>
      </c>
      <c r="M202" s="550" t="str">
        <f>IF('別紙様式2-2（４・５月分）'!P155="","",'別紙様式2-2（４・５月分）'!P155)</f>
        <v/>
      </c>
      <c r="N202" s="1391" t="str">
        <f>IF(SUM('別紙様式2-2（４・５月分）'!Q155:Q157)=0,"",SUM('別紙様式2-2（４・５月分）'!Q155:Q157))</f>
        <v/>
      </c>
      <c r="O202" s="1395" t="str">
        <f>IFERROR(VLOOKUP('別紙様式2-2（４・５月分）'!AQ155,【参考】数式用!$AR$5:$AS$22,2,FALSE),"")</f>
        <v/>
      </c>
      <c r="P202" s="1396"/>
      <c r="Q202" s="1397"/>
      <c r="R202" s="1531" t="str">
        <f>IFERROR(VLOOKUP(K202,【参考】数式用!$A$5:$AB$37,MATCH(O202,【参考】数式用!$B$4:$AB$4,0)+1,0),"")</f>
        <v/>
      </c>
      <c r="S202" s="1403" t="s">
        <v>2102</v>
      </c>
      <c r="T202" s="1527" t="str">
        <f>IF('別紙様式2-3（６月以降分）'!T202="","",'別紙様式2-3（６月以降分）'!T202)</f>
        <v/>
      </c>
      <c r="U202" s="1529" t="str">
        <f>IFERROR(VLOOKUP(K202,【参考】数式用!$A$5:$AB$37,MATCH(T202,【参考】数式用!$B$4:$AB$4,0)+1,0),"")</f>
        <v/>
      </c>
      <c r="V202" s="1409" t="s">
        <v>15</v>
      </c>
      <c r="W202" s="1525">
        <f>'別紙様式2-3（６月以降分）'!W202</f>
        <v>6</v>
      </c>
      <c r="X202" s="1349" t="s">
        <v>10</v>
      </c>
      <c r="Y202" s="1525">
        <f>'別紙様式2-3（６月以降分）'!Y202</f>
        <v>6</v>
      </c>
      <c r="Z202" s="1349" t="s">
        <v>38</v>
      </c>
      <c r="AA202" s="1525">
        <f>'別紙様式2-3（６月以降分）'!AA202</f>
        <v>7</v>
      </c>
      <c r="AB202" s="1349" t="s">
        <v>10</v>
      </c>
      <c r="AC202" s="1525">
        <f>'別紙様式2-3（６月以降分）'!AC202</f>
        <v>3</v>
      </c>
      <c r="AD202" s="1349" t="s">
        <v>2020</v>
      </c>
      <c r="AE202" s="1349" t="s">
        <v>20</v>
      </c>
      <c r="AF202" s="1349">
        <f>IF(W202&gt;=1,(AA202*12+AC202)-(W202*12+Y202)+1,"")</f>
        <v>10</v>
      </c>
      <c r="AG202" s="1351" t="s">
        <v>33</v>
      </c>
      <c r="AH202" s="1517" t="str">
        <f>'別紙様式2-3（６月以降分）'!AH202</f>
        <v/>
      </c>
      <c r="AI202" s="1519" t="str">
        <f>'別紙様式2-3（６月以降分）'!AI202</f>
        <v/>
      </c>
      <c r="AJ202" s="1521">
        <f>'別紙様式2-3（６月以降分）'!AJ202</f>
        <v>0</v>
      </c>
      <c r="AK202" s="1523" t="str">
        <f>IF('別紙様式2-3（６月以降分）'!AK202="","",'別紙様式2-3（６月以降分）'!AK202)</f>
        <v/>
      </c>
      <c r="AL202" s="1512">
        <f>'別紙様式2-3（６月以降分）'!AL202</f>
        <v>0</v>
      </c>
      <c r="AM202" s="1514" t="str">
        <f>IF('別紙様式2-3（６月以降分）'!AM202="","",'別紙様式2-3（６月以降分）'!AM202)</f>
        <v/>
      </c>
      <c r="AN202" s="1333" t="str">
        <f>IF('別紙様式2-3（６月以降分）'!AN202="","",'別紙様式2-3（６月以降分）'!AN202)</f>
        <v/>
      </c>
      <c r="AO202" s="1331" t="str">
        <f>IF('別紙様式2-3（６月以降分）'!AO202="","",'別紙様式2-3（６月以降分）'!AO202)</f>
        <v/>
      </c>
      <c r="AP202" s="1333" t="str">
        <f>IF('別紙様式2-3（６月以降分）'!AP202="","",'別紙様式2-3（６月以降分）'!AP202)</f>
        <v/>
      </c>
      <c r="AQ202" s="1481" t="str">
        <f>IF('別紙様式2-3（６月以降分）'!AQ202="","",'別紙様式2-3（６月以降分）'!AQ202)</f>
        <v/>
      </c>
      <c r="AR202" s="1484" t="str">
        <f>IF('別紙様式2-3（６月以降分）'!AR202="","",'別紙様式2-3（６月以降分）'!AR202)</f>
        <v/>
      </c>
      <c r="AS202" s="570" t="str">
        <f t="shared" ref="AS202" si="322">IF(AU204="","",IF(U204&lt;U202,"！加算の要件上は問題ありませんが、令和６年度当初の新加算の加算率と比較して、移行後の加算率が下がる計画になっています。",""))</f>
        <v/>
      </c>
      <c r="AT202" s="577"/>
      <c r="AU202" s="1301"/>
      <c r="AV202" s="555" t="str">
        <f>IF('別紙様式2-2（４・５月分）'!N155="","",'別紙様式2-2（４・５月分）'!N155)</f>
        <v/>
      </c>
      <c r="AW202" s="1305" t="str">
        <f>IF(SUM('別紙様式2-2（４・５月分）'!O155:O157)=0,"",SUM('別紙様式2-2（４・５月分）'!O155:O157))</f>
        <v/>
      </c>
      <c r="AX202" s="1473" t="str">
        <f>IFERROR(VLOOKUP(K202,【参考】数式用!$AH$2:$AI$34,2,FALSE),"")</f>
        <v/>
      </c>
      <c r="AY202" s="493"/>
      <c r="BD202" s="340"/>
      <c r="BE202" s="1303" t="str">
        <f>G202</f>
        <v/>
      </c>
      <c r="BF202" s="1303"/>
      <c r="BG202" s="1303"/>
    </row>
    <row r="203" spans="1:59" ht="15" customHeight="1">
      <c r="A203" s="1267"/>
      <c r="B203" s="1235"/>
      <c r="C203" s="1236"/>
      <c r="D203" s="1236"/>
      <c r="E203" s="1236"/>
      <c r="F203" s="1237"/>
      <c r="G203" s="1252"/>
      <c r="H203" s="1252"/>
      <c r="I203" s="1252"/>
      <c r="J203" s="1415"/>
      <c r="K203" s="1252"/>
      <c r="L203" s="1421"/>
      <c r="M203" s="1371" t="str">
        <f>IF('別紙様式2-2（４・５月分）'!P156="","",'別紙様式2-2（４・５月分）'!P156)</f>
        <v/>
      </c>
      <c r="N203" s="1392"/>
      <c r="O203" s="1398"/>
      <c r="P203" s="1399"/>
      <c r="Q203" s="1400"/>
      <c r="R203" s="1532"/>
      <c r="S203" s="1404"/>
      <c r="T203" s="1528"/>
      <c r="U203" s="1530"/>
      <c r="V203" s="1410"/>
      <c r="W203" s="1526"/>
      <c r="X203" s="1350"/>
      <c r="Y203" s="1526"/>
      <c r="Z203" s="1350"/>
      <c r="AA203" s="1526"/>
      <c r="AB203" s="1350"/>
      <c r="AC203" s="1526"/>
      <c r="AD203" s="1350"/>
      <c r="AE203" s="1350"/>
      <c r="AF203" s="1350"/>
      <c r="AG203" s="1352"/>
      <c r="AH203" s="1518"/>
      <c r="AI203" s="1520"/>
      <c r="AJ203" s="1522"/>
      <c r="AK203" s="1524"/>
      <c r="AL203" s="1513"/>
      <c r="AM203" s="1515"/>
      <c r="AN203" s="1334"/>
      <c r="AO203" s="1516"/>
      <c r="AP203" s="1334"/>
      <c r="AQ203" s="1482"/>
      <c r="AR203" s="1485"/>
      <c r="AS203" s="1483" t="str">
        <f t="shared" ref="AS203" si="323">IF(AU204="","",IF(OR(AA204="",AA204&lt;&gt;7,AC204="",AC204&lt;&gt;3),"！算定期間の終わりが令和７年３月になっていません。年度内の廃止予定等がなければ、算定対象月を令和７年３月にしてください。",""))</f>
        <v/>
      </c>
      <c r="AT203" s="577"/>
      <c r="AU203" s="1303"/>
      <c r="AV203" s="1304" t="str">
        <f>IF('別紙様式2-2（４・５月分）'!N156="","",'別紙様式2-2（４・５月分）'!N156)</f>
        <v/>
      </c>
      <c r="AW203" s="1305"/>
      <c r="AX203" s="1474"/>
      <c r="AY203" s="430"/>
      <c r="BD203" s="340"/>
      <c r="BE203" s="1303" t="str">
        <f>G202</f>
        <v/>
      </c>
      <c r="BF203" s="1303"/>
      <c r="BG203" s="1303"/>
    </row>
    <row r="204" spans="1:59" ht="15" customHeight="1">
      <c r="A204" s="1295"/>
      <c r="B204" s="1235"/>
      <c r="C204" s="1236"/>
      <c r="D204" s="1236"/>
      <c r="E204" s="1236"/>
      <c r="F204" s="1237"/>
      <c r="G204" s="1252"/>
      <c r="H204" s="1252"/>
      <c r="I204" s="1252"/>
      <c r="J204" s="1415"/>
      <c r="K204" s="1252"/>
      <c r="L204" s="1421"/>
      <c r="M204" s="1372"/>
      <c r="N204" s="1393"/>
      <c r="O204" s="1373" t="s">
        <v>2025</v>
      </c>
      <c r="P204" s="1425" t="str">
        <f>IFERROR(VLOOKUP('別紙様式2-2（４・５月分）'!AQ155,【参考】数式用!$AR$5:$AT$22,3,FALSE),"")</f>
        <v/>
      </c>
      <c r="Q204" s="1377" t="s">
        <v>2036</v>
      </c>
      <c r="R204" s="1508" t="str">
        <f>IFERROR(VLOOKUP(K202,【参考】数式用!$A$5:$AB$37,MATCH(P204,【参考】数式用!$B$4:$AB$4,0)+1,0),"")</f>
        <v/>
      </c>
      <c r="S204" s="1381" t="s">
        <v>2109</v>
      </c>
      <c r="T204" s="1510"/>
      <c r="U204" s="1506" t="str">
        <f>IFERROR(VLOOKUP(K202,【参考】数式用!$A$5:$AB$37,MATCH(T204,【参考】数式用!$B$4:$AB$4,0)+1,0),"")</f>
        <v/>
      </c>
      <c r="V204" s="1387" t="s">
        <v>15</v>
      </c>
      <c r="W204" s="1504"/>
      <c r="X204" s="1363" t="s">
        <v>10</v>
      </c>
      <c r="Y204" s="1504"/>
      <c r="Z204" s="1363" t="s">
        <v>38</v>
      </c>
      <c r="AA204" s="1504"/>
      <c r="AB204" s="1363" t="s">
        <v>10</v>
      </c>
      <c r="AC204" s="1504"/>
      <c r="AD204" s="1363" t="s">
        <v>2020</v>
      </c>
      <c r="AE204" s="1363" t="s">
        <v>20</v>
      </c>
      <c r="AF204" s="1363" t="str">
        <f>IF(W204&gt;=1,(AA204*12+AC204)-(W204*12+Y204)+1,"")</f>
        <v/>
      </c>
      <c r="AG204" s="1359" t="s">
        <v>33</v>
      </c>
      <c r="AH204" s="1365" t="str">
        <f t="shared" ref="AH204" si="324">IFERROR(ROUNDDOWN(ROUND(L202*U204,0),0)*AF204,"")</f>
        <v/>
      </c>
      <c r="AI204" s="1498" t="str">
        <f t="shared" ref="AI204" si="325">IFERROR(ROUNDDOWN(ROUND((L202*(U204-AW202)),0),0)*AF204,"")</f>
        <v/>
      </c>
      <c r="AJ204" s="1369" t="str">
        <f>IFERROR(ROUNDDOWN(ROUNDDOWN(ROUND(L202*VLOOKUP(K202,【参考】数式用!$A$5:$AB$27,MATCH("新加算Ⅳ",【参考】数式用!$B$4:$AB$4,0)+1,0),0),0)*AF204*0.5,0),"")</f>
        <v/>
      </c>
      <c r="AK204" s="1500"/>
      <c r="AL204" s="1502" t="str">
        <f>IFERROR(IF('別紙様式2-2（４・５月分）'!P204="ベア加算","", IF(OR(T204="新加算Ⅰ",T204="新加算Ⅱ",T204="新加算Ⅲ",T204="新加算Ⅳ"),ROUNDDOWN(ROUND(L202*VLOOKUP(K202,【参考】数式用!$A$5:$I$27,MATCH("ベア加算",【参考】数式用!$B$4:$I$4,0)+1,0),0),0)*AF204,"")),"")</f>
        <v/>
      </c>
      <c r="AM204" s="1494"/>
      <c r="AN204" s="1475"/>
      <c r="AO204" s="1496"/>
      <c r="AP204" s="1475"/>
      <c r="AQ204" s="1477"/>
      <c r="AR204" s="1479"/>
      <c r="AS204" s="1483"/>
      <c r="AT204" s="451"/>
      <c r="AU204" s="1303" t="str">
        <f>IF(AND(AA202&lt;&gt;7,AC202&lt;&gt;3),"V列に色付け","")</f>
        <v/>
      </c>
      <c r="AV204" s="1304"/>
      <c r="AW204" s="1305"/>
      <c r="AX204" s="574"/>
      <c r="AY204" s="1222" t="str">
        <f>IF(AL204&lt;&gt;"",IF(AM204="○","入力済","未入力"),"")</f>
        <v/>
      </c>
      <c r="AZ204" s="1222"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2" t="str">
        <f>IF(OR(T204="新加算Ⅴ（７）",T204="新加算Ⅴ（９）",T204="新加算Ⅴ（10）",T204="新加算Ⅴ（12）",T204="新加算Ⅴ（13）",T204="新加算Ⅴ（14）"),IF(OR(AO204="○",AO204="令和６年度中に満たす"),"入力済","未入力"),"")</f>
        <v/>
      </c>
      <c r="BB204" s="1222" t="str">
        <f>IF(OR(T204="新加算Ⅰ",T204="新加算Ⅱ",T204="新加算Ⅲ",T204="新加算Ⅴ（１）",T204="新加算Ⅴ（３）",T204="新加算Ⅴ（８）"),IF(OR(AP204="○",AP204="令和６年度中に満たす"),"入力済","未入力"),"")</f>
        <v/>
      </c>
      <c r="BC204" s="1472"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03" t="str">
        <f>IF(OR(T204="新加算Ⅰ",T204="新加算Ⅴ（１）",T204="新加算Ⅴ（２）",T204="新加算Ⅴ（５）",T204="新加算Ⅴ（７）",T204="新加算Ⅴ（10）"),IF(AR204="","未入力","入力済"),"")</f>
        <v/>
      </c>
      <c r="BE204" s="1303" t="str">
        <f>G202</f>
        <v/>
      </c>
      <c r="BF204" s="1303"/>
      <c r="BG204" s="1303"/>
    </row>
    <row r="205" spans="1:59" ht="30" customHeight="1" thickBot="1">
      <c r="A205" s="1268"/>
      <c r="B205" s="1411"/>
      <c r="C205" s="1412"/>
      <c r="D205" s="1412"/>
      <c r="E205" s="1412"/>
      <c r="F205" s="1413"/>
      <c r="G205" s="1253"/>
      <c r="H205" s="1253"/>
      <c r="I205" s="1253"/>
      <c r="J205" s="1416"/>
      <c r="K205" s="1253"/>
      <c r="L205" s="1422"/>
      <c r="M205" s="553" t="str">
        <f>IF('別紙様式2-2（４・５月分）'!P157="","",'別紙様式2-2（４・５月分）'!P157)</f>
        <v/>
      </c>
      <c r="N205" s="1394"/>
      <c r="O205" s="1374"/>
      <c r="P205" s="1426"/>
      <c r="Q205" s="1378"/>
      <c r="R205" s="1509"/>
      <c r="S205" s="1382"/>
      <c r="T205" s="1511"/>
      <c r="U205" s="1507"/>
      <c r="V205" s="1388"/>
      <c r="W205" s="1505"/>
      <c r="X205" s="1364"/>
      <c r="Y205" s="1505"/>
      <c r="Z205" s="1364"/>
      <c r="AA205" s="1505"/>
      <c r="AB205" s="1364"/>
      <c r="AC205" s="1505"/>
      <c r="AD205" s="1364"/>
      <c r="AE205" s="1364"/>
      <c r="AF205" s="1364"/>
      <c r="AG205" s="1360"/>
      <c r="AH205" s="1366"/>
      <c r="AI205" s="1499"/>
      <c r="AJ205" s="1370"/>
      <c r="AK205" s="1501"/>
      <c r="AL205" s="1503"/>
      <c r="AM205" s="1495"/>
      <c r="AN205" s="1476"/>
      <c r="AO205" s="1497"/>
      <c r="AP205" s="1476"/>
      <c r="AQ205" s="1478"/>
      <c r="AR205" s="1480"/>
      <c r="AS205" s="575"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1"/>
      <c r="AU205" s="1303"/>
      <c r="AV205" s="555" t="str">
        <f>IF('別紙様式2-2（４・５月分）'!N157="","",'別紙様式2-2（４・５月分）'!N157)</f>
        <v/>
      </c>
      <c r="AW205" s="1305"/>
      <c r="AX205" s="576"/>
      <c r="AY205" s="1222" t="str">
        <f>IF(OR(T205="新加算Ⅰ",T205="新加算Ⅱ",T205="新加算Ⅲ",T205="新加算Ⅳ",T205="新加算Ⅴ（１）",T205="新加算Ⅴ（２）",T205="新加算Ⅴ（３）",T205="新加算ⅠⅤ（４）",T205="新加算Ⅴ（５）",T205="新加算Ⅴ（６）",T205="新加算Ⅴ（８）",T205="新加算Ⅴ（11）"),IF(AI205="○","","未入力"),"")</f>
        <v/>
      </c>
      <c r="AZ205" s="1222" t="str">
        <f>IF(OR(U205="新加算Ⅰ",U205="新加算Ⅱ",U205="新加算Ⅲ",U205="新加算Ⅳ",U205="新加算Ⅴ（１）",U205="新加算Ⅴ（２）",U205="新加算Ⅴ（３）",U205="新加算ⅠⅤ（４）",U205="新加算Ⅴ（５）",U205="新加算Ⅴ（６）",U205="新加算Ⅴ（８）",U205="新加算Ⅴ（11）"),IF(AJ205="○","","未入力"),"")</f>
        <v/>
      </c>
      <c r="BA205" s="1222" t="str">
        <f>IF(OR(U205="新加算Ⅴ（７）",U205="新加算Ⅴ（９）",U205="新加算Ⅴ（10）",U205="新加算Ⅴ（12）",U205="新加算Ⅴ（13）",U205="新加算Ⅴ（14）"),IF(AK205="○","","未入力"),"")</f>
        <v/>
      </c>
      <c r="BB205" s="1222" t="str">
        <f>IF(OR(U205="新加算Ⅰ",U205="新加算Ⅱ",U205="新加算Ⅲ",U205="新加算Ⅴ（１）",U205="新加算Ⅴ（３）",U205="新加算Ⅴ（８）"),IF(AL205="○","","未入力"),"")</f>
        <v/>
      </c>
      <c r="BC205" s="1472"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03" t="str">
        <f>IF(AND(T205&lt;&gt;"（参考）令和７年度の移行予定",OR(U205="新加算Ⅰ",U205="新加算Ⅴ（１）",U205="新加算Ⅴ（２）",U205="新加算Ⅴ（５）",U205="新加算Ⅴ（７）",U205="新加算Ⅴ（10）")),IF(AN205="","未入力",IF(AN205="いずれも取得していない","要件を満たさない","")),"")</f>
        <v/>
      </c>
      <c r="BE205" s="1303" t="str">
        <f>G202</f>
        <v/>
      </c>
      <c r="BF205" s="1303"/>
      <c r="BG205" s="1303"/>
    </row>
    <row r="206" spans="1:59" ht="30" customHeight="1">
      <c r="A206" s="1266">
        <v>49</v>
      </c>
      <c r="B206" s="1232" t="str">
        <f>IF(基本情報入力シート!C102="","",基本情報入力シート!C102)</f>
        <v/>
      </c>
      <c r="C206" s="1233"/>
      <c r="D206" s="1233"/>
      <c r="E206" s="1233"/>
      <c r="F206" s="1234"/>
      <c r="G206" s="1251" t="str">
        <f>IF(基本情報入力シート!M102="","",基本情報入力シート!M102)</f>
        <v/>
      </c>
      <c r="H206" s="1251" t="str">
        <f>IF(基本情報入力シート!R102="","",基本情報入力シート!R102)</f>
        <v/>
      </c>
      <c r="I206" s="1251" t="str">
        <f>IF(基本情報入力シート!W102="","",基本情報入力シート!W102)</f>
        <v/>
      </c>
      <c r="J206" s="1414" t="str">
        <f>IF(基本情報入力シート!X102="","",基本情報入力シート!X102)</f>
        <v/>
      </c>
      <c r="K206" s="1251" t="str">
        <f>IF(基本情報入力シート!Y102="","",基本情報入力シート!Y102)</f>
        <v/>
      </c>
      <c r="L206" s="1427" t="str">
        <f>IF(基本情報入力シート!AB102="","",基本情報入力シート!AB102)</f>
        <v/>
      </c>
      <c r="M206" s="550" t="str">
        <f>IF('別紙様式2-2（４・５月分）'!P158="","",'別紙様式2-2（４・５月分）'!P158)</f>
        <v/>
      </c>
      <c r="N206" s="1391" t="str">
        <f>IF(SUM('別紙様式2-2（４・５月分）'!Q158:Q160)=0,"",SUM('別紙様式2-2（４・５月分）'!Q158:Q160))</f>
        <v/>
      </c>
      <c r="O206" s="1395" t="str">
        <f>IFERROR(VLOOKUP('別紙様式2-2（４・５月分）'!AQ158,【参考】数式用!$AR$5:$AS$22,2,FALSE),"")</f>
        <v/>
      </c>
      <c r="P206" s="1396"/>
      <c r="Q206" s="1397"/>
      <c r="R206" s="1531" t="str">
        <f>IFERROR(VLOOKUP(K206,【参考】数式用!$A$5:$AB$37,MATCH(O206,【参考】数式用!$B$4:$AB$4,0)+1,0),"")</f>
        <v/>
      </c>
      <c r="S206" s="1403" t="s">
        <v>2102</v>
      </c>
      <c r="T206" s="1527" t="str">
        <f>IF('別紙様式2-3（６月以降分）'!T206="","",'別紙様式2-3（６月以降分）'!T206)</f>
        <v/>
      </c>
      <c r="U206" s="1529" t="str">
        <f>IFERROR(VLOOKUP(K206,【参考】数式用!$A$5:$AB$37,MATCH(T206,【参考】数式用!$B$4:$AB$4,0)+1,0),"")</f>
        <v/>
      </c>
      <c r="V206" s="1409" t="s">
        <v>15</v>
      </c>
      <c r="W206" s="1525">
        <f>'別紙様式2-3（６月以降分）'!W206</f>
        <v>6</v>
      </c>
      <c r="X206" s="1349" t="s">
        <v>10</v>
      </c>
      <c r="Y206" s="1525">
        <f>'別紙様式2-3（６月以降分）'!Y206</f>
        <v>6</v>
      </c>
      <c r="Z206" s="1349" t="s">
        <v>38</v>
      </c>
      <c r="AA206" s="1525">
        <f>'別紙様式2-3（６月以降分）'!AA206</f>
        <v>7</v>
      </c>
      <c r="AB206" s="1349" t="s">
        <v>10</v>
      </c>
      <c r="AC206" s="1525">
        <f>'別紙様式2-3（６月以降分）'!AC206</f>
        <v>3</v>
      </c>
      <c r="AD206" s="1349" t="s">
        <v>2020</v>
      </c>
      <c r="AE206" s="1349" t="s">
        <v>20</v>
      </c>
      <c r="AF206" s="1349">
        <f>IF(W206&gt;=1,(AA206*12+AC206)-(W206*12+Y206)+1,"")</f>
        <v>10</v>
      </c>
      <c r="AG206" s="1351" t="s">
        <v>33</v>
      </c>
      <c r="AH206" s="1517" t="str">
        <f>'別紙様式2-3（６月以降分）'!AH206</f>
        <v/>
      </c>
      <c r="AI206" s="1519" t="str">
        <f>'別紙様式2-3（６月以降分）'!AI206</f>
        <v/>
      </c>
      <c r="AJ206" s="1521">
        <f>'別紙様式2-3（６月以降分）'!AJ206</f>
        <v>0</v>
      </c>
      <c r="AK206" s="1523" t="str">
        <f>IF('別紙様式2-3（６月以降分）'!AK206="","",'別紙様式2-3（６月以降分）'!AK206)</f>
        <v/>
      </c>
      <c r="AL206" s="1512">
        <f>'別紙様式2-3（６月以降分）'!AL206</f>
        <v>0</v>
      </c>
      <c r="AM206" s="1514" t="str">
        <f>IF('別紙様式2-3（６月以降分）'!AM206="","",'別紙様式2-3（６月以降分）'!AM206)</f>
        <v/>
      </c>
      <c r="AN206" s="1333" t="str">
        <f>IF('別紙様式2-3（６月以降分）'!AN206="","",'別紙様式2-3（６月以降分）'!AN206)</f>
        <v/>
      </c>
      <c r="AO206" s="1331" t="str">
        <f>IF('別紙様式2-3（６月以降分）'!AO206="","",'別紙様式2-3（６月以降分）'!AO206)</f>
        <v/>
      </c>
      <c r="AP206" s="1333" t="str">
        <f>IF('別紙様式2-3（６月以降分）'!AP206="","",'別紙様式2-3（６月以降分）'!AP206)</f>
        <v/>
      </c>
      <c r="AQ206" s="1481" t="str">
        <f>IF('別紙様式2-3（６月以降分）'!AQ206="","",'別紙様式2-3（６月以降分）'!AQ206)</f>
        <v/>
      </c>
      <c r="AR206" s="1484" t="str">
        <f>IF('別紙様式2-3（６月以降分）'!AR206="","",'別紙様式2-3（６月以降分）'!AR206)</f>
        <v/>
      </c>
      <c r="AS206" s="570" t="str">
        <f t="shared" ref="AS206" si="329">IF(AU208="","",IF(U208&lt;U206,"！加算の要件上は問題ありませんが、令和６年度当初の新加算の加算率と比較して、移行後の加算率が下がる計画になっています。",""))</f>
        <v/>
      </c>
      <c r="AT206" s="577"/>
      <c r="AU206" s="1301"/>
      <c r="AV206" s="555" t="str">
        <f>IF('別紙様式2-2（４・５月分）'!N158="","",'別紙様式2-2（４・５月分）'!N158)</f>
        <v/>
      </c>
      <c r="AW206" s="1305" t="str">
        <f>IF(SUM('別紙様式2-2（４・５月分）'!O158:O160)=0,"",SUM('別紙様式2-2（４・５月分）'!O158:O160))</f>
        <v/>
      </c>
      <c r="AX206" s="1473" t="str">
        <f>IFERROR(VLOOKUP(K206,【参考】数式用!$AH$2:$AI$34,2,FALSE),"")</f>
        <v/>
      </c>
      <c r="AY206" s="493"/>
      <c r="BD206" s="340"/>
      <c r="BE206" s="1303" t="str">
        <f>G206</f>
        <v/>
      </c>
      <c r="BF206" s="1303"/>
      <c r="BG206" s="1303"/>
    </row>
    <row r="207" spans="1:59" ht="15" customHeight="1">
      <c r="A207" s="1267"/>
      <c r="B207" s="1235"/>
      <c r="C207" s="1236"/>
      <c r="D207" s="1236"/>
      <c r="E207" s="1236"/>
      <c r="F207" s="1237"/>
      <c r="G207" s="1252"/>
      <c r="H207" s="1252"/>
      <c r="I207" s="1252"/>
      <c r="J207" s="1415"/>
      <c r="K207" s="1252"/>
      <c r="L207" s="1421"/>
      <c r="M207" s="1371" t="str">
        <f>IF('別紙様式2-2（４・５月分）'!P159="","",'別紙様式2-2（４・５月分）'!P159)</f>
        <v/>
      </c>
      <c r="N207" s="1392"/>
      <c r="O207" s="1398"/>
      <c r="P207" s="1399"/>
      <c r="Q207" s="1400"/>
      <c r="R207" s="1532"/>
      <c r="S207" s="1404"/>
      <c r="T207" s="1528"/>
      <c r="U207" s="1530"/>
      <c r="V207" s="1410"/>
      <c r="W207" s="1526"/>
      <c r="X207" s="1350"/>
      <c r="Y207" s="1526"/>
      <c r="Z207" s="1350"/>
      <c r="AA207" s="1526"/>
      <c r="AB207" s="1350"/>
      <c r="AC207" s="1526"/>
      <c r="AD207" s="1350"/>
      <c r="AE207" s="1350"/>
      <c r="AF207" s="1350"/>
      <c r="AG207" s="1352"/>
      <c r="AH207" s="1518"/>
      <c r="AI207" s="1520"/>
      <c r="AJ207" s="1522"/>
      <c r="AK207" s="1524"/>
      <c r="AL207" s="1513"/>
      <c r="AM207" s="1515"/>
      <c r="AN207" s="1334"/>
      <c r="AO207" s="1516"/>
      <c r="AP207" s="1334"/>
      <c r="AQ207" s="1482"/>
      <c r="AR207" s="1485"/>
      <c r="AS207" s="1483" t="str">
        <f t="shared" ref="AS207" si="330">IF(AU208="","",IF(OR(AA208="",AA208&lt;&gt;7,AC208="",AC208&lt;&gt;3),"！算定期間の終わりが令和７年３月になっていません。年度内の廃止予定等がなければ、算定対象月を令和７年３月にしてください。",""))</f>
        <v/>
      </c>
      <c r="AT207" s="577"/>
      <c r="AU207" s="1303"/>
      <c r="AV207" s="1304" t="str">
        <f>IF('別紙様式2-2（４・５月分）'!N159="","",'別紙様式2-2（４・５月分）'!N159)</f>
        <v/>
      </c>
      <c r="AW207" s="1305"/>
      <c r="AX207" s="1474"/>
      <c r="AY207" s="430"/>
      <c r="BD207" s="340"/>
      <c r="BE207" s="1303" t="str">
        <f>G206</f>
        <v/>
      </c>
      <c r="BF207" s="1303"/>
      <c r="BG207" s="1303"/>
    </row>
    <row r="208" spans="1:59" ht="15" customHeight="1">
      <c r="A208" s="1295"/>
      <c r="B208" s="1235"/>
      <c r="C208" s="1236"/>
      <c r="D208" s="1236"/>
      <c r="E208" s="1236"/>
      <c r="F208" s="1237"/>
      <c r="G208" s="1252"/>
      <c r="H208" s="1252"/>
      <c r="I208" s="1252"/>
      <c r="J208" s="1415"/>
      <c r="K208" s="1252"/>
      <c r="L208" s="1421"/>
      <c r="M208" s="1372"/>
      <c r="N208" s="1393"/>
      <c r="O208" s="1373" t="s">
        <v>2025</v>
      </c>
      <c r="P208" s="1425" t="str">
        <f>IFERROR(VLOOKUP('別紙様式2-2（４・５月分）'!AQ158,【参考】数式用!$AR$5:$AT$22,3,FALSE),"")</f>
        <v/>
      </c>
      <c r="Q208" s="1377" t="s">
        <v>2036</v>
      </c>
      <c r="R208" s="1508" t="str">
        <f>IFERROR(VLOOKUP(K206,【参考】数式用!$A$5:$AB$37,MATCH(P208,【参考】数式用!$B$4:$AB$4,0)+1,0),"")</f>
        <v/>
      </c>
      <c r="S208" s="1381" t="s">
        <v>2109</v>
      </c>
      <c r="T208" s="1510"/>
      <c r="U208" s="1506" t="str">
        <f>IFERROR(VLOOKUP(K206,【参考】数式用!$A$5:$AB$37,MATCH(T208,【参考】数式用!$B$4:$AB$4,0)+1,0),"")</f>
        <v/>
      </c>
      <c r="V208" s="1387" t="s">
        <v>15</v>
      </c>
      <c r="W208" s="1504"/>
      <c r="X208" s="1363" t="s">
        <v>10</v>
      </c>
      <c r="Y208" s="1504"/>
      <c r="Z208" s="1363" t="s">
        <v>38</v>
      </c>
      <c r="AA208" s="1504"/>
      <c r="AB208" s="1363" t="s">
        <v>10</v>
      </c>
      <c r="AC208" s="1504"/>
      <c r="AD208" s="1363" t="s">
        <v>2020</v>
      </c>
      <c r="AE208" s="1363" t="s">
        <v>20</v>
      </c>
      <c r="AF208" s="1363" t="str">
        <f>IF(W208&gt;=1,(AA208*12+AC208)-(W208*12+Y208)+1,"")</f>
        <v/>
      </c>
      <c r="AG208" s="1359" t="s">
        <v>33</v>
      </c>
      <c r="AH208" s="1365" t="str">
        <f t="shared" ref="AH208" si="331">IFERROR(ROUNDDOWN(ROUND(L206*U208,0),0)*AF208,"")</f>
        <v/>
      </c>
      <c r="AI208" s="1498" t="str">
        <f t="shared" ref="AI208" si="332">IFERROR(ROUNDDOWN(ROUND((L206*(U208-AW206)),0),0)*AF208,"")</f>
        <v/>
      </c>
      <c r="AJ208" s="1369" t="str">
        <f>IFERROR(ROUNDDOWN(ROUNDDOWN(ROUND(L206*VLOOKUP(K206,【参考】数式用!$A$5:$AB$27,MATCH("新加算Ⅳ",【参考】数式用!$B$4:$AB$4,0)+1,0),0),0)*AF208*0.5,0),"")</f>
        <v/>
      </c>
      <c r="AK208" s="1500"/>
      <c r="AL208" s="1502" t="str">
        <f>IFERROR(IF('別紙様式2-2（４・５月分）'!P208="ベア加算","", IF(OR(T208="新加算Ⅰ",T208="新加算Ⅱ",T208="新加算Ⅲ",T208="新加算Ⅳ"),ROUNDDOWN(ROUND(L206*VLOOKUP(K206,【参考】数式用!$A$5:$I$27,MATCH("ベア加算",【参考】数式用!$B$4:$I$4,0)+1,0),0),0)*AF208,"")),"")</f>
        <v/>
      </c>
      <c r="AM208" s="1494"/>
      <c r="AN208" s="1475"/>
      <c r="AO208" s="1496"/>
      <c r="AP208" s="1475"/>
      <c r="AQ208" s="1477"/>
      <c r="AR208" s="1479"/>
      <c r="AS208" s="1483"/>
      <c r="AT208" s="451"/>
      <c r="AU208" s="1303" t="str">
        <f>IF(AND(AA206&lt;&gt;7,AC206&lt;&gt;3),"V列に色付け","")</f>
        <v/>
      </c>
      <c r="AV208" s="1304"/>
      <c r="AW208" s="1305"/>
      <c r="AX208" s="574"/>
      <c r="AY208" s="1222" t="str">
        <f>IF(AL208&lt;&gt;"",IF(AM208="○","入力済","未入力"),"")</f>
        <v/>
      </c>
      <c r="AZ208" s="1222"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2" t="str">
        <f>IF(OR(T208="新加算Ⅴ（７）",T208="新加算Ⅴ（９）",T208="新加算Ⅴ（10）",T208="新加算Ⅴ（12）",T208="新加算Ⅴ（13）",T208="新加算Ⅴ（14）"),IF(OR(AO208="○",AO208="令和６年度中に満たす"),"入力済","未入力"),"")</f>
        <v/>
      </c>
      <c r="BB208" s="1222" t="str">
        <f>IF(OR(T208="新加算Ⅰ",T208="新加算Ⅱ",T208="新加算Ⅲ",T208="新加算Ⅴ（１）",T208="新加算Ⅴ（３）",T208="新加算Ⅴ（８）"),IF(OR(AP208="○",AP208="令和６年度中に満たす"),"入力済","未入力"),"")</f>
        <v/>
      </c>
      <c r="BC208" s="1472"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03" t="str">
        <f>IF(OR(T208="新加算Ⅰ",T208="新加算Ⅴ（１）",T208="新加算Ⅴ（２）",T208="新加算Ⅴ（５）",T208="新加算Ⅴ（７）",T208="新加算Ⅴ（10）"),IF(AR208="","未入力","入力済"),"")</f>
        <v/>
      </c>
      <c r="BE208" s="1303" t="str">
        <f>G206</f>
        <v/>
      </c>
      <c r="BF208" s="1303"/>
      <c r="BG208" s="1303"/>
    </row>
    <row r="209" spans="1:59" ht="30" customHeight="1" thickBot="1">
      <c r="A209" s="1268"/>
      <c r="B209" s="1411"/>
      <c r="C209" s="1412"/>
      <c r="D209" s="1412"/>
      <c r="E209" s="1412"/>
      <c r="F209" s="1413"/>
      <c r="G209" s="1253"/>
      <c r="H209" s="1253"/>
      <c r="I209" s="1253"/>
      <c r="J209" s="1416"/>
      <c r="K209" s="1253"/>
      <c r="L209" s="1422"/>
      <c r="M209" s="553" t="str">
        <f>IF('別紙様式2-2（４・５月分）'!P160="","",'別紙様式2-2（４・５月分）'!P160)</f>
        <v/>
      </c>
      <c r="N209" s="1394"/>
      <c r="O209" s="1374"/>
      <c r="P209" s="1426"/>
      <c r="Q209" s="1378"/>
      <c r="R209" s="1509"/>
      <c r="S209" s="1382"/>
      <c r="T209" s="1511"/>
      <c r="U209" s="1507"/>
      <c r="V209" s="1388"/>
      <c r="W209" s="1505"/>
      <c r="X209" s="1364"/>
      <c r="Y209" s="1505"/>
      <c r="Z209" s="1364"/>
      <c r="AA209" s="1505"/>
      <c r="AB209" s="1364"/>
      <c r="AC209" s="1505"/>
      <c r="AD209" s="1364"/>
      <c r="AE209" s="1364"/>
      <c r="AF209" s="1364"/>
      <c r="AG209" s="1360"/>
      <c r="AH209" s="1366"/>
      <c r="AI209" s="1499"/>
      <c r="AJ209" s="1370"/>
      <c r="AK209" s="1501"/>
      <c r="AL209" s="1503"/>
      <c r="AM209" s="1495"/>
      <c r="AN209" s="1476"/>
      <c r="AO209" s="1497"/>
      <c r="AP209" s="1476"/>
      <c r="AQ209" s="1478"/>
      <c r="AR209" s="1480"/>
      <c r="AS209" s="575"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1"/>
      <c r="AU209" s="1303"/>
      <c r="AV209" s="555" t="str">
        <f>IF('別紙様式2-2（４・５月分）'!N160="","",'別紙様式2-2（４・５月分）'!N160)</f>
        <v/>
      </c>
      <c r="AW209" s="1305"/>
      <c r="AX209" s="576"/>
      <c r="AY209" s="1222" t="str">
        <f>IF(OR(T209="新加算Ⅰ",T209="新加算Ⅱ",T209="新加算Ⅲ",T209="新加算Ⅳ",T209="新加算Ⅴ（１）",T209="新加算Ⅴ（２）",T209="新加算Ⅴ（３）",T209="新加算ⅠⅤ（４）",T209="新加算Ⅴ（５）",T209="新加算Ⅴ（６）",T209="新加算Ⅴ（８）",T209="新加算Ⅴ（11）"),IF(AI209="○","","未入力"),"")</f>
        <v/>
      </c>
      <c r="AZ209" s="1222" t="str">
        <f>IF(OR(U209="新加算Ⅰ",U209="新加算Ⅱ",U209="新加算Ⅲ",U209="新加算Ⅳ",U209="新加算Ⅴ（１）",U209="新加算Ⅴ（２）",U209="新加算Ⅴ（３）",U209="新加算ⅠⅤ（４）",U209="新加算Ⅴ（５）",U209="新加算Ⅴ（６）",U209="新加算Ⅴ（８）",U209="新加算Ⅴ（11）"),IF(AJ209="○","","未入力"),"")</f>
        <v/>
      </c>
      <c r="BA209" s="1222" t="str">
        <f>IF(OR(U209="新加算Ⅴ（７）",U209="新加算Ⅴ（９）",U209="新加算Ⅴ（10）",U209="新加算Ⅴ（12）",U209="新加算Ⅴ（13）",U209="新加算Ⅴ（14）"),IF(AK209="○","","未入力"),"")</f>
        <v/>
      </c>
      <c r="BB209" s="1222" t="str">
        <f>IF(OR(U209="新加算Ⅰ",U209="新加算Ⅱ",U209="新加算Ⅲ",U209="新加算Ⅴ（１）",U209="新加算Ⅴ（３）",U209="新加算Ⅴ（８）"),IF(AL209="○","","未入力"),"")</f>
        <v/>
      </c>
      <c r="BC209" s="1472"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03" t="str">
        <f>IF(AND(T209&lt;&gt;"（参考）令和７年度の移行予定",OR(U209="新加算Ⅰ",U209="新加算Ⅴ（１）",U209="新加算Ⅴ（２）",U209="新加算Ⅴ（５）",U209="新加算Ⅴ（７）",U209="新加算Ⅴ（10）")),IF(AN209="","未入力",IF(AN209="いずれも取得していない","要件を満たさない","")),"")</f>
        <v/>
      </c>
      <c r="BE209" s="1303" t="str">
        <f>G206</f>
        <v/>
      </c>
      <c r="BF209" s="1303"/>
      <c r="BG209" s="1303"/>
    </row>
    <row r="210" spans="1:59" ht="30" customHeight="1">
      <c r="A210" s="1293">
        <v>50</v>
      </c>
      <c r="B210" s="1235" t="str">
        <f>IF(基本情報入力シート!C103="","",基本情報入力シート!C103)</f>
        <v/>
      </c>
      <c r="C210" s="1236"/>
      <c r="D210" s="1236"/>
      <c r="E210" s="1236"/>
      <c r="F210" s="1237"/>
      <c r="G210" s="1252" t="str">
        <f>IF(基本情報入力シート!M103="","",基本情報入力シート!M103)</f>
        <v/>
      </c>
      <c r="H210" s="1252" t="str">
        <f>IF(基本情報入力シート!R103="","",基本情報入力シート!R103)</f>
        <v/>
      </c>
      <c r="I210" s="1252" t="str">
        <f>IF(基本情報入力シート!W103="","",基本情報入力シート!W103)</f>
        <v/>
      </c>
      <c r="J210" s="1415" t="str">
        <f>IF(基本情報入力シート!X103="","",基本情報入力シート!X103)</f>
        <v/>
      </c>
      <c r="K210" s="1252" t="str">
        <f>IF(基本情報入力シート!Y103="","",基本情報入力シート!Y103)</f>
        <v/>
      </c>
      <c r="L210" s="1421" t="str">
        <f>IF(基本情報入力シート!AB103="","",基本情報入力シート!AB103)</f>
        <v/>
      </c>
      <c r="M210" s="550" t="str">
        <f>IF('別紙様式2-2（４・５月分）'!P161="","",'別紙様式2-2（４・５月分）'!P161)</f>
        <v/>
      </c>
      <c r="N210" s="1391" t="str">
        <f>IF(SUM('別紙様式2-2（４・５月分）'!Q161:Q163)=0,"",SUM('別紙様式2-2（４・５月分）'!Q161:Q163))</f>
        <v/>
      </c>
      <c r="O210" s="1395" t="str">
        <f>IFERROR(VLOOKUP('別紙様式2-2（４・５月分）'!AQ161,【参考】数式用!$AR$5:$AS$22,2,FALSE),"")</f>
        <v/>
      </c>
      <c r="P210" s="1396"/>
      <c r="Q210" s="1397"/>
      <c r="R210" s="1531" t="str">
        <f>IFERROR(VLOOKUP(K210,【参考】数式用!$A$5:$AB$37,MATCH(O210,【参考】数式用!$B$4:$AB$4,0)+1,0),"")</f>
        <v/>
      </c>
      <c r="S210" s="1403" t="s">
        <v>2102</v>
      </c>
      <c r="T210" s="1527" t="str">
        <f>IF('別紙様式2-3（６月以降分）'!T210="","",'別紙様式2-3（６月以降分）'!T210)</f>
        <v/>
      </c>
      <c r="U210" s="1529" t="str">
        <f>IFERROR(VLOOKUP(K210,【参考】数式用!$A$5:$AB$37,MATCH(T210,【参考】数式用!$B$4:$AB$4,0)+1,0),"")</f>
        <v/>
      </c>
      <c r="V210" s="1409" t="s">
        <v>15</v>
      </c>
      <c r="W210" s="1525">
        <f>'別紙様式2-3（６月以降分）'!W210</f>
        <v>6</v>
      </c>
      <c r="X210" s="1349" t="s">
        <v>10</v>
      </c>
      <c r="Y210" s="1525">
        <f>'別紙様式2-3（６月以降分）'!Y210</f>
        <v>6</v>
      </c>
      <c r="Z210" s="1349" t="s">
        <v>38</v>
      </c>
      <c r="AA210" s="1525">
        <f>'別紙様式2-3（６月以降分）'!AA210</f>
        <v>7</v>
      </c>
      <c r="AB210" s="1349" t="s">
        <v>10</v>
      </c>
      <c r="AC210" s="1525">
        <f>'別紙様式2-3（６月以降分）'!AC210</f>
        <v>3</v>
      </c>
      <c r="AD210" s="1349" t="s">
        <v>2020</v>
      </c>
      <c r="AE210" s="1349" t="s">
        <v>20</v>
      </c>
      <c r="AF210" s="1349">
        <f>IF(W210&gt;=1,(AA210*12+AC210)-(W210*12+Y210)+1,"")</f>
        <v>10</v>
      </c>
      <c r="AG210" s="1351" t="s">
        <v>33</v>
      </c>
      <c r="AH210" s="1517" t="str">
        <f>'別紙様式2-3（６月以降分）'!AH210</f>
        <v/>
      </c>
      <c r="AI210" s="1519" t="str">
        <f>'別紙様式2-3（６月以降分）'!AI210</f>
        <v/>
      </c>
      <c r="AJ210" s="1521">
        <f>'別紙様式2-3（６月以降分）'!AJ210</f>
        <v>0</v>
      </c>
      <c r="AK210" s="1523" t="str">
        <f>IF('別紙様式2-3（６月以降分）'!AK210="","",'別紙様式2-3（６月以降分）'!AK210)</f>
        <v/>
      </c>
      <c r="AL210" s="1512">
        <f>'別紙様式2-3（６月以降分）'!AL210</f>
        <v>0</v>
      </c>
      <c r="AM210" s="1514" t="str">
        <f>IF('別紙様式2-3（６月以降分）'!AM210="","",'別紙様式2-3（６月以降分）'!AM210)</f>
        <v/>
      </c>
      <c r="AN210" s="1333" t="str">
        <f>IF('別紙様式2-3（６月以降分）'!AN210="","",'別紙様式2-3（６月以降分）'!AN210)</f>
        <v/>
      </c>
      <c r="AO210" s="1331" t="str">
        <f>IF('別紙様式2-3（６月以降分）'!AO210="","",'別紙様式2-3（６月以降分）'!AO210)</f>
        <v/>
      </c>
      <c r="AP210" s="1333" t="str">
        <f>IF('別紙様式2-3（６月以降分）'!AP210="","",'別紙様式2-3（６月以降分）'!AP210)</f>
        <v/>
      </c>
      <c r="AQ210" s="1481" t="str">
        <f>IF('別紙様式2-3（６月以降分）'!AQ210="","",'別紙様式2-3（６月以降分）'!AQ210)</f>
        <v/>
      </c>
      <c r="AR210" s="1484" t="str">
        <f>IF('別紙様式2-3（６月以降分）'!AR210="","",'別紙様式2-3（６月以降分）'!AR210)</f>
        <v/>
      </c>
      <c r="AS210" s="570" t="str">
        <f t="shared" ref="AS210" si="336">IF(AU212="","",IF(U212&lt;U210,"！加算の要件上は問題ありませんが、令和６年度当初の新加算の加算率と比較して、移行後の加算率が下がる計画になっています。",""))</f>
        <v/>
      </c>
      <c r="AT210" s="577"/>
      <c r="AU210" s="1301"/>
      <c r="AV210" s="555" t="str">
        <f>IF('別紙様式2-2（４・５月分）'!N161="","",'別紙様式2-2（４・５月分）'!N161)</f>
        <v/>
      </c>
      <c r="AW210" s="1305" t="str">
        <f>IF(SUM('別紙様式2-2（４・５月分）'!O161:O163)=0,"",SUM('別紙様式2-2（４・５月分）'!O161:O163))</f>
        <v/>
      </c>
      <c r="AX210" s="1473" t="str">
        <f>IFERROR(VLOOKUP(K210,【参考】数式用!$AH$2:$AI$34,2,FALSE),"")</f>
        <v/>
      </c>
      <c r="AY210" s="493"/>
      <c r="BD210" s="340"/>
      <c r="BE210" s="1303" t="str">
        <f>G210</f>
        <v/>
      </c>
      <c r="BF210" s="1303"/>
      <c r="BG210" s="1303"/>
    </row>
    <row r="211" spans="1:59" ht="15" customHeight="1">
      <c r="A211" s="1267"/>
      <c r="B211" s="1235"/>
      <c r="C211" s="1236"/>
      <c r="D211" s="1236"/>
      <c r="E211" s="1236"/>
      <c r="F211" s="1237"/>
      <c r="G211" s="1252"/>
      <c r="H211" s="1252"/>
      <c r="I211" s="1252"/>
      <c r="J211" s="1415"/>
      <c r="K211" s="1252"/>
      <c r="L211" s="1421"/>
      <c r="M211" s="1371" t="str">
        <f>IF('別紙様式2-2（４・５月分）'!P162="","",'別紙様式2-2（４・５月分）'!P162)</f>
        <v/>
      </c>
      <c r="N211" s="1392"/>
      <c r="O211" s="1398"/>
      <c r="P211" s="1399"/>
      <c r="Q211" s="1400"/>
      <c r="R211" s="1532"/>
      <c r="S211" s="1404"/>
      <c r="T211" s="1528"/>
      <c r="U211" s="1530"/>
      <c r="V211" s="1410"/>
      <c r="W211" s="1526"/>
      <c r="X211" s="1350"/>
      <c r="Y211" s="1526"/>
      <c r="Z211" s="1350"/>
      <c r="AA211" s="1526"/>
      <c r="AB211" s="1350"/>
      <c r="AC211" s="1526"/>
      <c r="AD211" s="1350"/>
      <c r="AE211" s="1350"/>
      <c r="AF211" s="1350"/>
      <c r="AG211" s="1352"/>
      <c r="AH211" s="1518"/>
      <c r="AI211" s="1520"/>
      <c r="AJ211" s="1522"/>
      <c r="AK211" s="1524"/>
      <c r="AL211" s="1513"/>
      <c r="AM211" s="1515"/>
      <c r="AN211" s="1334"/>
      <c r="AO211" s="1516"/>
      <c r="AP211" s="1334"/>
      <c r="AQ211" s="1482"/>
      <c r="AR211" s="1485"/>
      <c r="AS211" s="1483" t="str">
        <f t="shared" ref="AS211" si="337">IF(AU212="","",IF(OR(AA212="",AA212&lt;&gt;7,AC212="",AC212&lt;&gt;3),"！算定期間の終わりが令和７年３月になっていません。年度内の廃止予定等がなければ、算定対象月を令和７年３月にしてください。",""))</f>
        <v/>
      </c>
      <c r="AT211" s="577"/>
      <c r="AU211" s="1303"/>
      <c r="AV211" s="1304" t="str">
        <f>IF('別紙様式2-2（４・５月分）'!N162="","",'別紙様式2-2（４・５月分）'!N162)</f>
        <v/>
      </c>
      <c r="AW211" s="1305"/>
      <c r="AX211" s="1474"/>
      <c r="AY211" s="430"/>
      <c r="BD211" s="340"/>
      <c r="BE211" s="1303" t="str">
        <f>G210</f>
        <v/>
      </c>
      <c r="BF211" s="1303"/>
      <c r="BG211" s="1303"/>
    </row>
    <row r="212" spans="1:59" ht="15" customHeight="1">
      <c r="A212" s="1295"/>
      <c r="B212" s="1235"/>
      <c r="C212" s="1236"/>
      <c r="D212" s="1236"/>
      <c r="E212" s="1236"/>
      <c r="F212" s="1237"/>
      <c r="G212" s="1252"/>
      <c r="H212" s="1252"/>
      <c r="I212" s="1252"/>
      <c r="J212" s="1415"/>
      <c r="K212" s="1252"/>
      <c r="L212" s="1421"/>
      <c r="M212" s="1372"/>
      <c r="N212" s="1393"/>
      <c r="O212" s="1373" t="s">
        <v>2025</v>
      </c>
      <c r="P212" s="1425" t="str">
        <f>IFERROR(VLOOKUP('別紙様式2-2（４・５月分）'!AQ161,【参考】数式用!$AR$5:$AT$22,3,FALSE),"")</f>
        <v/>
      </c>
      <c r="Q212" s="1377" t="s">
        <v>2036</v>
      </c>
      <c r="R212" s="1508" t="str">
        <f>IFERROR(VLOOKUP(K210,【参考】数式用!$A$5:$AB$37,MATCH(P212,【参考】数式用!$B$4:$AB$4,0)+1,0),"")</f>
        <v/>
      </c>
      <c r="S212" s="1381" t="s">
        <v>2109</v>
      </c>
      <c r="T212" s="1510"/>
      <c r="U212" s="1506" t="str">
        <f>IFERROR(VLOOKUP(K210,【参考】数式用!$A$5:$AB$37,MATCH(T212,【参考】数式用!$B$4:$AB$4,0)+1,0),"")</f>
        <v/>
      </c>
      <c r="V212" s="1387" t="s">
        <v>15</v>
      </c>
      <c r="W212" s="1504"/>
      <c r="X212" s="1363" t="s">
        <v>10</v>
      </c>
      <c r="Y212" s="1504"/>
      <c r="Z212" s="1363" t="s">
        <v>38</v>
      </c>
      <c r="AA212" s="1504"/>
      <c r="AB212" s="1363" t="s">
        <v>10</v>
      </c>
      <c r="AC212" s="1504"/>
      <c r="AD212" s="1363" t="s">
        <v>2020</v>
      </c>
      <c r="AE212" s="1363" t="s">
        <v>20</v>
      </c>
      <c r="AF212" s="1363" t="str">
        <f>IF(W212&gt;=1,(AA212*12+AC212)-(W212*12+Y212)+1,"")</f>
        <v/>
      </c>
      <c r="AG212" s="1359" t="s">
        <v>33</v>
      </c>
      <c r="AH212" s="1365" t="str">
        <f t="shared" ref="AH212" si="338">IFERROR(ROUNDDOWN(ROUND(L210*U212,0),0)*AF212,"")</f>
        <v/>
      </c>
      <c r="AI212" s="1498" t="str">
        <f t="shared" ref="AI212" si="339">IFERROR(ROUNDDOWN(ROUND((L210*(U212-AW210)),0),0)*AF212,"")</f>
        <v/>
      </c>
      <c r="AJ212" s="1369" t="str">
        <f>IFERROR(ROUNDDOWN(ROUNDDOWN(ROUND(L210*VLOOKUP(K210,【参考】数式用!$A$5:$AB$27,MATCH("新加算Ⅳ",【参考】数式用!$B$4:$AB$4,0)+1,0),0),0)*AF212*0.5,0),"")</f>
        <v/>
      </c>
      <c r="AK212" s="1500"/>
      <c r="AL212" s="1502" t="str">
        <f>IFERROR(IF('別紙様式2-2（４・５月分）'!P212="ベア加算","", IF(OR(T212="新加算Ⅰ",T212="新加算Ⅱ",T212="新加算Ⅲ",T212="新加算Ⅳ"),ROUNDDOWN(ROUND(L210*VLOOKUP(K210,【参考】数式用!$A$5:$I$27,MATCH("ベア加算",【参考】数式用!$B$4:$I$4,0)+1,0),0),0)*AF212,"")),"")</f>
        <v/>
      </c>
      <c r="AM212" s="1494"/>
      <c r="AN212" s="1475"/>
      <c r="AO212" s="1496"/>
      <c r="AP212" s="1475"/>
      <c r="AQ212" s="1477"/>
      <c r="AR212" s="1479"/>
      <c r="AS212" s="1483"/>
      <c r="AT212" s="451"/>
      <c r="AU212" s="1303" t="str">
        <f>IF(AND(AA210&lt;&gt;7,AC210&lt;&gt;3),"V列に色付け","")</f>
        <v/>
      </c>
      <c r="AV212" s="1304"/>
      <c r="AW212" s="1305"/>
      <c r="AX212" s="574"/>
      <c r="AY212" s="1222" t="str">
        <f>IF(AL212&lt;&gt;"",IF(AM212="○","入力済","未入力"),"")</f>
        <v/>
      </c>
      <c r="AZ212" s="1222"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2" t="str">
        <f>IF(OR(T212="新加算Ⅴ（７）",T212="新加算Ⅴ（９）",T212="新加算Ⅴ（10）",T212="新加算Ⅴ（12）",T212="新加算Ⅴ（13）",T212="新加算Ⅴ（14）"),IF(OR(AO212="○",AO212="令和６年度中に満たす"),"入力済","未入力"),"")</f>
        <v/>
      </c>
      <c r="BB212" s="1222" t="str">
        <f>IF(OR(T212="新加算Ⅰ",T212="新加算Ⅱ",T212="新加算Ⅲ",T212="新加算Ⅴ（１）",T212="新加算Ⅴ（３）",T212="新加算Ⅴ（８）"),IF(OR(AP212="○",AP212="令和６年度中に満たす"),"入力済","未入力"),"")</f>
        <v/>
      </c>
      <c r="BC212" s="1472"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03" t="str">
        <f>IF(OR(T212="新加算Ⅰ",T212="新加算Ⅴ（１）",T212="新加算Ⅴ（２）",T212="新加算Ⅴ（５）",T212="新加算Ⅴ（７）",T212="新加算Ⅴ（10）"),IF(AR212="","未入力","入力済"),"")</f>
        <v/>
      </c>
      <c r="BE212" s="1303" t="str">
        <f>G210</f>
        <v/>
      </c>
      <c r="BF212" s="1303"/>
      <c r="BG212" s="1303"/>
    </row>
    <row r="213" spans="1:59" ht="30" customHeight="1" thickBot="1">
      <c r="A213" s="1268"/>
      <c r="B213" s="1411"/>
      <c r="C213" s="1412"/>
      <c r="D213" s="1412"/>
      <c r="E213" s="1412"/>
      <c r="F213" s="1413"/>
      <c r="G213" s="1253"/>
      <c r="H213" s="1253"/>
      <c r="I213" s="1253"/>
      <c r="J213" s="1416"/>
      <c r="K213" s="1253"/>
      <c r="L213" s="1422"/>
      <c r="M213" s="553" t="str">
        <f>IF('別紙様式2-2（４・５月分）'!P163="","",'別紙様式2-2（４・５月分）'!P163)</f>
        <v/>
      </c>
      <c r="N213" s="1394"/>
      <c r="O213" s="1374"/>
      <c r="P213" s="1426"/>
      <c r="Q213" s="1378"/>
      <c r="R213" s="1509"/>
      <c r="S213" s="1382"/>
      <c r="T213" s="1511"/>
      <c r="U213" s="1507"/>
      <c r="V213" s="1388"/>
      <c r="W213" s="1505"/>
      <c r="X213" s="1364"/>
      <c r="Y213" s="1505"/>
      <c r="Z213" s="1364"/>
      <c r="AA213" s="1505"/>
      <c r="AB213" s="1364"/>
      <c r="AC213" s="1505"/>
      <c r="AD213" s="1364"/>
      <c r="AE213" s="1364"/>
      <c r="AF213" s="1364"/>
      <c r="AG213" s="1360"/>
      <c r="AH213" s="1366"/>
      <c r="AI213" s="1499"/>
      <c r="AJ213" s="1370"/>
      <c r="AK213" s="1501"/>
      <c r="AL213" s="1503"/>
      <c r="AM213" s="1495"/>
      <c r="AN213" s="1476"/>
      <c r="AO213" s="1497"/>
      <c r="AP213" s="1476"/>
      <c r="AQ213" s="1478"/>
      <c r="AR213" s="1480"/>
      <c r="AS213" s="575"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1"/>
      <c r="AU213" s="1303"/>
      <c r="AV213" s="555" t="str">
        <f>IF('別紙様式2-2（４・５月分）'!N163="","",'別紙様式2-2（４・５月分）'!N163)</f>
        <v/>
      </c>
      <c r="AW213" s="1305"/>
      <c r="AX213" s="576"/>
      <c r="AY213" s="1222" t="str">
        <f>IF(OR(T213="新加算Ⅰ",T213="新加算Ⅱ",T213="新加算Ⅲ",T213="新加算Ⅳ",T213="新加算Ⅴ（１）",T213="新加算Ⅴ（２）",T213="新加算Ⅴ（３）",T213="新加算ⅠⅤ（４）",T213="新加算Ⅴ（５）",T213="新加算Ⅴ（６）",T213="新加算Ⅴ（８）",T213="新加算Ⅴ（11）"),IF(AI213="○","","未入力"),"")</f>
        <v/>
      </c>
      <c r="AZ213" s="1222" t="str">
        <f>IF(OR(U213="新加算Ⅰ",U213="新加算Ⅱ",U213="新加算Ⅲ",U213="新加算Ⅳ",U213="新加算Ⅴ（１）",U213="新加算Ⅴ（２）",U213="新加算Ⅴ（３）",U213="新加算ⅠⅤ（４）",U213="新加算Ⅴ（５）",U213="新加算Ⅴ（６）",U213="新加算Ⅴ（８）",U213="新加算Ⅴ（11）"),IF(AJ213="○","","未入力"),"")</f>
        <v/>
      </c>
      <c r="BA213" s="1222" t="str">
        <f>IF(OR(U213="新加算Ⅴ（７）",U213="新加算Ⅴ（９）",U213="新加算Ⅴ（10）",U213="新加算Ⅴ（12）",U213="新加算Ⅴ（13）",U213="新加算Ⅴ（14）"),IF(AK213="○","","未入力"),"")</f>
        <v/>
      </c>
      <c r="BB213" s="1222" t="str">
        <f>IF(OR(U213="新加算Ⅰ",U213="新加算Ⅱ",U213="新加算Ⅲ",U213="新加算Ⅴ（１）",U213="新加算Ⅴ（３）",U213="新加算Ⅴ（８）"),IF(AL213="○","","未入力"),"")</f>
        <v/>
      </c>
      <c r="BC213" s="1472"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03" t="str">
        <f>IF(AND(T213&lt;&gt;"（参考）令和７年度の移行予定",OR(U213="新加算Ⅰ",U213="新加算Ⅴ（１）",U213="新加算Ⅴ（２）",U213="新加算Ⅴ（５）",U213="新加算Ⅴ（７）",U213="新加算Ⅴ（10）")),IF(AN213="","未入力",IF(AN213="いずれも取得していない","要件を満たさない","")),"")</f>
        <v/>
      </c>
      <c r="BE213" s="1303" t="str">
        <f>G210</f>
        <v/>
      </c>
      <c r="BF213" s="1303"/>
      <c r="BG213" s="1303"/>
    </row>
    <row r="214" spans="1:59" ht="30" customHeight="1">
      <c r="A214" s="1266">
        <v>51</v>
      </c>
      <c r="B214" s="1232" t="str">
        <f>IF(基本情報入力シート!C104="","",基本情報入力シート!C104)</f>
        <v/>
      </c>
      <c r="C214" s="1233"/>
      <c r="D214" s="1233"/>
      <c r="E214" s="1233"/>
      <c r="F214" s="1234"/>
      <c r="G214" s="1251" t="str">
        <f>IF(基本情報入力シート!M104="","",基本情報入力シート!M104)</f>
        <v/>
      </c>
      <c r="H214" s="1251" t="str">
        <f>IF(基本情報入力シート!R104="","",基本情報入力シート!R104)</f>
        <v/>
      </c>
      <c r="I214" s="1251" t="str">
        <f>IF(基本情報入力シート!W104="","",基本情報入力シート!W104)</f>
        <v/>
      </c>
      <c r="J214" s="1414" t="str">
        <f>IF(基本情報入力シート!X104="","",基本情報入力シート!X104)</f>
        <v/>
      </c>
      <c r="K214" s="1251" t="str">
        <f>IF(基本情報入力シート!Y104="","",基本情報入力シート!Y104)</f>
        <v/>
      </c>
      <c r="L214" s="1427" t="str">
        <f>IF(基本情報入力シート!AB104="","",基本情報入力シート!AB104)</f>
        <v/>
      </c>
      <c r="M214" s="550" t="str">
        <f>IF('別紙様式2-2（４・５月分）'!P164="","",'別紙様式2-2（４・５月分）'!P164)</f>
        <v/>
      </c>
      <c r="N214" s="1391" t="str">
        <f>IF(SUM('別紙様式2-2（４・５月分）'!Q164:Q166)=0,"",SUM('別紙様式2-2（４・５月分）'!Q164:Q166))</f>
        <v/>
      </c>
      <c r="O214" s="1395" t="str">
        <f>IFERROR(VLOOKUP('別紙様式2-2（４・５月分）'!AQ164,【参考】数式用!$AR$5:$AS$22,2,FALSE),"")</f>
        <v/>
      </c>
      <c r="P214" s="1396"/>
      <c r="Q214" s="1397"/>
      <c r="R214" s="1531" t="str">
        <f>IFERROR(VLOOKUP(K214,【参考】数式用!$A$5:$AB$37,MATCH(O214,【参考】数式用!$B$4:$AB$4,0)+1,0),"")</f>
        <v/>
      </c>
      <c r="S214" s="1403" t="s">
        <v>2102</v>
      </c>
      <c r="T214" s="1527" t="str">
        <f>IF('別紙様式2-3（６月以降分）'!T214="","",'別紙様式2-3（６月以降分）'!T214)</f>
        <v/>
      </c>
      <c r="U214" s="1529" t="str">
        <f>IFERROR(VLOOKUP(K214,【参考】数式用!$A$5:$AB$37,MATCH(T214,【参考】数式用!$B$4:$AB$4,0)+1,0),"")</f>
        <v/>
      </c>
      <c r="V214" s="1409" t="s">
        <v>15</v>
      </c>
      <c r="W214" s="1525">
        <f>'別紙様式2-3（６月以降分）'!W214</f>
        <v>6</v>
      </c>
      <c r="X214" s="1349" t="s">
        <v>10</v>
      </c>
      <c r="Y214" s="1525">
        <f>'別紙様式2-3（６月以降分）'!Y214</f>
        <v>6</v>
      </c>
      <c r="Z214" s="1349" t="s">
        <v>38</v>
      </c>
      <c r="AA214" s="1525">
        <f>'別紙様式2-3（６月以降分）'!AA214</f>
        <v>7</v>
      </c>
      <c r="AB214" s="1349" t="s">
        <v>10</v>
      </c>
      <c r="AC214" s="1525">
        <f>'別紙様式2-3（６月以降分）'!AC214</f>
        <v>3</v>
      </c>
      <c r="AD214" s="1349" t="s">
        <v>2020</v>
      </c>
      <c r="AE214" s="1349" t="s">
        <v>20</v>
      </c>
      <c r="AF214" s="1349">
        <f>IF(W214&gt;=1,(AA214*12+AC214)-(W214*12+Y214)+1,"")</f>
        <v>10</v>
      </c>
      <c r="AG214" s="1351" t="s">
        <v>33</v>
      </c>
      <c r="AH214" s="1517" t="str">
        <f>'別紙様式2-3（６月以降分）'!AH214</f>
        <v/>
      </c>
      <c r="AI214" s="1519" t="str">
        <f>'別紙様式2-3（６月以降分）'!AI214</f>
        <v/>
      </c>
      <c r="AJ214" s="1521">
        <f>'別紙様式2-3（６月以降分）'!AJ214</f>
        <v>0</v>
      </c>
      <c r="AK214" s="1523" t="str">
        <f>IF('別紙様式2-3（６月以降分）'!AK214="","",'別紙様式2-3（６月以降分）'!AK214)</f>
        <v/>
      </c>
      <c r="AL214" s="1512">
        <f>'別紙様式2-3（６月以降分）'!AL214</f>
        <v>0</v>
      </c>
      <c r="AM214" s="1514" t="str">
        <f>IF('別紙様式2-3（６月以降分）'!AM214="","",'別紙様式2-3（６月以降分）'!AM214)</f>
        <v/>
      </c>
      <c r="AN214" s="1333" t="str">
        <f>IF('別紙様式2-3（６月以降分）'!AN214="","",'別紙様式2-3（６月以降分）'!AN214)</f>
        <v/>
      </c>
      <c r="AO214" s="1331" t="str">
        <f>IF('別紙様式2-3（６月以降分）'!AO214="","",'別紙様式2-3（６月以降分）'!AO214)</f>
        <v/>
      </c>
      <c r="AP214" s="1333" t="str">
        <f>IF('別紙様式2-3（６月以降分）'!AP214="","",'別紙様式2-3（６月以降分）'!AP214)</f>
        <v/>
      </c>
      <c r="AQ214" s="1481" t="str">
        <f>IF('別紙様式2-3（６月以降分）'!AQ214="","",'別紙様式2-3（６月以降分）'!AQ214)</f>
        <v/>
      </c>
      <c r="AR214" s="1484" t="str">
        <f>IF('別紙様式2-3（６月以降分）'!AR214="","",'別紙様式2-3（６月以降分）'!AR214)</f>
        <v/>
      </c>
      <c r="AS214" s="570" t="str">
        <f t="shared" ref="AS214" si="343">IF(AU216="","",IF(U216&lt;U214,"！加算の要件上は問題ありませんが、令和６年度当初の新加算の加算率と比較して、移行後の加算率が下がる計画になっています。",""))</f>
        <v/>
      </c>
      <c r="AT214" s="577"/>
      <c r="AU214" s="1301"/>
      <c r="AV214" s="555" t="str">
        <f>IF('別紙様式2-2（４・５月分）'!N164="","",'別紙様式2-2（４・５月分）'!N164)</f>
        <v/>
      </c>
      <c r="AW214" s="1305" t="str">
        <f>IF(SUM('別紙様式2-2（４・５月分）'!O164:O166)=0,"",SUM('別紙様式2-2（４・５月分）'!O164:O166))</f>
        <v/>
      </c>
      <c r="AX214" s="1473" t="str">
        <f>IFERROR(VLOOKUP(K214,【参考】数式用!$AH$2:$AI$34,2,FALSE),"")</f>
        <v/>
      </c>
      <c r="AY214" s="493"/>
      <c r="BD214" s="340"/>
      <c r="BE214" s="1303" t="str">
        <f>G214</f>
        <v/>
      </c>
      <c r="BF214" s="1303"/>
      <c r="BG214" s="1303"/>
    </row>
    <row r="215" spans="1:59" ht="15" customHeight="1">
      <c r="A215" s="1267"/>
      <c r="B215" s="1235"/>
      <c r="C215" s="1236"/>
      <c r="D215" s="1236"/>
      <c r="E215" s="1236"/>
      <c r="F215" s="1237"/>
      <c r="G215" s="1252"/>
      <c r="H215" s="1252"/>
      <c r="I215" s="1252"/>
      <c r="J215" s="1415"/>
      <c r="K215" s="1252"/>
      <c r="L215" s="1421"/>
      <c r="M215" s="1371" t="str">
        <f>IF('別紙様式2-2（４・５月分）'!P165="","",'別紙様式2-2（４・５月分）'!P165)</f>
        <v/>
      </c>
      <c r="N215" s="1392"/>
      <c r="O215" s="1398"/>
      <c r="P215" s="1399"/>
      <c r="Q215" s="1400"/>
      <c r="R215" s="1532"/>
      <c r="S215" s="1404"/>
      <c r="T215" s="1528"/>
      <c r="U215" s="1530"/>
      <c r="V215" s="1410"/>
      <c r="W215" s="1526"/>
      <c r="X215" s="1350"/>
      <c r="Y215" s="1526"/>
      <c r="Z215" s="1350"/>
      <c r="AA215" s="1526"/>
      <c r="AB215" s="1350"/>
      <c r="AC215" s="1526"/>
      <c r="AD215" s="1350"/>
      <c r="AE215" s="1350"/>
      <c r="AF215" s="1350"/>
      <c r="AG215" s="1352"/>
      <c r="AH215" s="1518"/>
      <c r="AI215" s="1520"/>
      <c r="AJ215" s="1522"/>
      <c r="AK215" s="1524"/>
      <c r="AL215" s="1513"/>
      <c r="AM215" s="1515"/>
      <c r="AN215" s="1334"/>
      <c r="AO215" s="1516"/>
      <c r="AP215" s="1334"/>
      <c r="AQ215" s="1482"/>
      <c r="AR215" s="1485"/>
      <c r="AS215" s="1483" t="str">
        <f t="shared" ref="AS215" si="344">IF(AU216="","",IF(OR(AA216="",AA216&lt;&gt;7,AC216="",AC216&lt;&gt;3),"！算定期間の終わりが令和７年３月になっていません。年度内の廃止予定等がなければ、算定対象月を令和７年３月にしてください。",""))</f>
        <v/>
      </c>
      <c r="AT215" s="577"/>
      <c r="AU215" s="1303"/>
      <c r="AV215" s="1304" t="str">
        <f>IF('別紙様式2-2（４・５月分）'!N165="","",'別紙様式2-2（４・５月分）'!N165)</f>
        <v/>
      </c>
      <c r="AW215" s="1305"/>
      <c r="AX215" s="1474"/>
      <c r="AY215" s="430"/>
      <c r="BD215" s="340"/>
      <c r="BE215" s="1303" t="str">
        <f>G214</f>
        <v/>
      </c>
      <c r="BF215" s="1303"/>
      <c r="BG215" s="1303"/>
    </row>
    <row r="216" spans="1:59" ht="15" customHeight="1">
      <c r="A216" s="1295"/>
      <c r="B216" s="1235"/>
      <c r="C216" s="1236"/>
      <c r="D216" s="1236"/>
      <c r="E216" s="1236"/>
      <c r="F216" s="1237"/>
      <c r="G216" s="1252"/>
      <c r="H216" s="1252"/>
      <c r="I216" s="1252"/>
      <c r="J216" s="1415"/>
      <c r="K216" s="1252"/>
      <c r="L216" s="1421"/>
      <c r="M216" s="1372"/>
      <c r="N216" s="1393"/>
      <c r="O216" s="1373" t="s">
        <v>2025</v>
      </c>
      <c r="P216" s="1425" t="str">
        <f>IFERROR(VLOOKUP('別紙様式2-2（４・５月分）'!AQ164,【参考】数式用!$AR$5:$AT$22,3,FALSE),"")</f>
        <v/>
      </c>
      <c r="Q216" s="1377" t="s">
        <v>2036</v>
      </c>
      <c r="R216" s="1508" t="str">
        <f>IFERROR(VLOOKUP(K214,【参考】数式用!$A$5:$AB$37,MATCH(P216,【参考】数式用!$B$4:$AB$4,0)+1,0),"")</f>
        <v/>
      </c>
      <c r="S216" s="1381" t="s">
        <v>2109</v>
      </c>
      <c r="T216" s="1510"/>
      <c r="U216" s="1506" t="str">
        <f>IFERROR(VLOOKUP(K214,【参考】数式用!$A$5:$AB$37,MATCH(T216,【参考】数式用!$B$4:$AB$4,0)+1,0),"")</f>
        <v/>
      </c>
      <c r="V216" s="1387" t="s">
        <v>15</v>
      </c>
      <c r="W216" s="1504"/>
      <c r="X216" s="1363" t="s">
        <v>10</v>
      </c>
      <c r="Y216" s="1504"/>
      <c r="Z216" s="1363" t="s">
        <v>38</v>
      </c>
      <c r="AA216" s="1504"/>
      <c r="AB216" s="1363" t="s">
        <v>10</v>
      </c>
      <c r="AC216" s="1504"/>
      <c r="AD216" s="1363" t="s">
        <v>2020</v>
      </c>
      <c r="AE216" s="1363" t="s">
        <v>20</v>
      </c>
      <c r="AF216" s="1363" t="str">
        <f>IF(W216&gt;=1,(AA216*12+AC216)-(W216*12+Y216)+1,"")</f>
        <v/>
      </c>
      <c r="AG216" s="1359" t="s">
        <v>33</v>
      </c>
      <c r="AH216" s="1365" t="str">
        <f t="shared" ref="AH216" si="345">IFERROR(ROUNDDOWN(ROUND(L214*U216,0),0)*AF216,"")</f>
        <v/>
      </c>
      <c r="AI216" s="1498" t="str">
        <f t="shared" ref="AI216" si="346">IFERROR(ROUNDDOWN(ROUND((L214*(U216-AW214)),0),0)*AF216,"")</f>
        <v/>
      </c>
      <c r="AJ216" s="1369" t="str">
        <f>IFERROR(ROUNDDOWN(ROUNDDOWN(ROUND(L214*VLOOKUP(K214,【参考】数式用!$A$5:$AB$27,MATCH("新加算Ⅳ",【参考】数式用!$B$4:$AB$4,0)+1,0),0),0)*AF216*0.5,0),"")</f>
        <v/>
      </c>
      <c r="AK216" s="1500"/>
      <c r="AL216" s="1502" t="str">
        <f>IFERROR(IF('別紙様式2-2（４・５月分）'!P216="ベア加算","", IF(OR(T216="新加算Ⅰ",T216="新加算Ⅱ",T216="新加算Ⅲ",T216="新加算Ⅳ"),ROUNDDOWN(ROUND(L214*VLOOKUP(K214,【参考】数式用!$A$5:$I$27,MATCH("ベア加算",【参考】数式用!$B$4:$I$4,0)+1,0),0),0)*AF216,"")),"")</f>
        <v/>
      </c>
      <c r="AM216" s="1494"/>
      <c r="AN216" s="1475"/>
      <c r="AO216" s="1496"/>
      <c r="AP216" s="1475"/>
      <c r="AQ216" s="1477"/>
      <c r="AR216" s="1479"/>
      <c r="AS216" s="1483"/>
      <c r="AT216" s="451"/>
      <c r="AU216" s="1303" t="str">
        <f>IF(AND(AA214&lt;&gt;7,AC214&lt;&gt;3),"V列に色付け","")</f>
        <v/>
      </c>
      <c r="AV216" s="1304"/>
      <c r="AW216" s="1305"/>
      <c r="AX216" s="574"/>
      <c r="AY216" s="1222" t="str">
        <f>IF(AL216&lt;&gt;"",IF(AM216="○","入力済","未入力"),"")</f>
        <v/>
      </c>
      <c r="AZ216" s="1222"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2" t="str">
        <f>IF(OR(T216="新加算Ⅴ（７）",T216="新加算Ⅴ（９）",T216="新加算Ⅴ（10）",T216="新加算Ⅴ（12）",T216="新加算Ⅴ（13）",T216="新加算Ⅴ（14）"),IF(OR(AO216="○",AO216="令和６年度中に満たす"),"入力済","未入力"),"")</f>
        <v/>
      </c>
      <c r="BB216" s="1222" t="str">
        <f>IF(OR(T216="新加算Ⅰ",T216="新加算Ⅱ",T216="新加算Ⅲ",T216="新加算Ⅴ（１）",T216="新加算Ⅴ（３）",T216="新加算Ⅴ（８）"),IF(OR(AP216="○",AP216="令和６年度中に満たす"),"入力済","未入力"),"")</f>
        <v/>
      </c>
      <c r="BC216" s="1472"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03" t="str">
        <f>IF(OR(T216="新加算Ⅰ",T216="新加算Ⅴ（１）",T216="新加算Ⅴ（２）",T216="新加算Ⅴ（５）",T216="新加算Ⅴ（７）",T216="新加算Ⅴ（10）"),IF(AR216="","未入力","入力済"),"")</f>
        <v/>
      </c>
      <c r="BE216" s="1303" t="str">
        <f>G214</f>
        <v/>
      </c>
      <c r="BF216" s="1303"/>
      <c r="BG216" s="1303"/>
    </row>
    <row r="217" spans="1:59" ht="30" customHeight="1" thickBot="1">
      <c r="A217" s="1268"/>
      <c r="B217" s="1411"/>
      <c r="C217" s="1412"/>
      <c r="D217" s="1412"/>
      <c r="E217" s="1412"/>
      <c r="F217" s="1413"/>
      <c r="G217" s="1253"/>
      <c r="H217" s="1253"/>
      <c r="I217" s="1253"/>
      <c r="J217" s="1416"/>
      <c r="K217" s="1253"/>
      <c r="L217" s="1422"/>
      <c r="M217" s="553" t="str">
        <f>IF('別紙様式2-2（４・５月分）'!P166="","",'別紙様式2-2（４・５月分）'!P166)</f>
        <v/>
      </c>
      <c r="N217" s="1394"/>
      <c r="O217" s="1374"/>
      <c r="P217" s="1426"/>
      <c r="Q217" s="1378"/>
      <c r="R217" s="1509"/>
      <c r="S217" s="1382"/>
      <c r="T217" s="1511"/>
      <c r="U217" s="1507"/>
      <c r="V217" s="1388"/>
      <c r="W217" s="1505"/>
      <c r="X217" s="1364"/>
      <c r="Y217" s="1505"/>
      <c r="Z217" s="1364"/>
      <c r="AA217" s="1505"/>
      <c r="AB217" s="1364"/>
      <c r="AC217" s="1505"/>
      <c r="AD217" s="1364"/>
      <c r="AE217" s="1364"/>
      <c r="AF217" s="1364"/>
      <c r="AG217" s="1360"/>
      <c r="AH217" s="1366"/>
      <c r="AI217" s="1499"/>
      <c r="AJ217" s="1370"/>
      <c r="AK217" s="1501"/>
      <c r="AL217" s="1503"/>
      <c r="AM217" s="1495"/>
      <c r="AN217" s="1476"/>
      <c r="AO217" s="1497"/>
      <c r="AP217" s="1476"/>
      <c r="AQ217" s="1478"/>
      <c r="AR217" s="1480"/>
      <c r="AS217" s="575"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1"/>
      <c r="AU217" s="1303"/>
      <c r="AV217" s="555" t="str">
        <f>IF('別紙様式2-2（４・５月分）'!N166="","",'別紙様式2-2（４・５月分）'!N166)</f>
        <v/>
      </c>
      <c r="AW217" s="1305"/>
      <c r="AX217" s="576"/>
      <c r="AY217" s="1222" t="str">
        <f>IF(OR(T217="新加算Ⅰ",T217="新加算Ⅱ",T217="新加算Ⅲ",T217="新加算Ⅳ",T217="新加算Ⅴ（１）",T217="新加算Ⅴ（２）",T217="新加算Ⅴ（３）",T217="新加算ⅠⅤ（４）",T217="新加算Ⅴ（５）",T217="新加算Ⅴ（６）",T217="新加算Ⅴ（８）",T217="新加算Ⅴ（11）"),IF(AI217="○","","未入力"),"")</f>
        <v/>
      </c>
      <c r="AZ217" s="1222" t="str">
        <f>IF(OR(U217="新加算Ⅰ",U217="新加算Ⅱ",U217="新加算Ⅲ",U217="新加算Ⅳ",U217="新加算Ⅴ（１）",U217="新加算Ⅴ（２）",U217="新加算Ⅴ（３）",U217="新加算ⅠⅤ（４）",U217="新加算Ⅴ（５）",U217="新加算Ⅴ（６）",U217="新加算Ⅴ（８）",U217="新加算Ⅴ（11）"),IF(AJ217="○","","未入力"),"")</f>
        <v/>
      </c>
      <c r="BA217" s="1222" t="str">
        <f>IF(OR(U217="新加算Ⅴ（７）",U217="新加算Ⅴ（９）",U217="新加算Ⅴ（10）",U217="新加算Ⅴ（12）",U217="新加算Ⅴ（13）",U217="新加算Ⅴ（14）"),IF(AK217="○","","未入力"),"")</f>
        <v/>
      </c>
      <c r="BB217" s="1222" t="str">
        <f>IF(OR(U217="新加算Ⅰ",U217="新加算Ⅱ",U217="新加算Ⅲ",U217="新加算Ⅴ（１）",U217="新加算Ⅴ（３）",U217="新加算Ⅴ（８）"),IF(AL217="○","","未入力"),"")</f>
        <v/>
      </c>
      <c r="BC217" s="1472"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03" t="str">
        <f>IF(AND(T217&lt;&gt;"（参考）令和７年度の移行予定",OR(U217="新加算Ⅰ",U217="新加算Ⅴ（１）",U217="新加算Ⅴ（２）",U217="新加算Ⅴ（５）",U217="新加算Ⅴ（７）",U217="新加算Ⅴ（10）")),IF(AN217="","未入力",IF(AN217="いずれも取得していない","要件を満たさない","")),"")</f>
        <v/>
      </c>
      <c r="BE217" s="1303" t="str">
        <f>G214</f>
        <v/>
      </c>
      <c r="BF217" s="1303"/>
      <c r="BG217" s="1303"/>
    </row>
    <row r="218" spans="1:59" ht="30" customHeight="1">
      <c r="A218" s="1293">
        <v>52</v>
      </c>
      <c r="B218" s="1235" t="str">
        <f>IF(基本情報入力シート!C105="","",基本情報入力シート!C105)</f>
        <v/>
      </c>
      <c r="C218" s="1236"/>
      <c r="D218" s="1236"/>
      <c r="E218" s="1236"/>
      <c r="F218" s="1237"/>
      <c r="G218" s="1252" t="str">
        <f>IF(基本情報入力シート!M105="","",基本情報入力シート!M105)</f>
        <v/>
      </c>
      <c r="H218" s="1252" t="str">
        <f>IF(基本情報入力シート!R105="","",基本情報入力シート!R105)</f>
        <v/>
      </c>
      <c r="I218" s="1252" t="str">
        <f>IF(基本情報入力シート!W105="","",基本情報入力シート!W105)</f>
        <v/>
      </c>
      <c r="J218" s="1415" t="str">
        <f>IF(基本情報入力シート!X105="","",基本情報入力シート!X105)</f>
        <v/>
      </c>
      <c r="K218" s="1252" t="str">
        <f>IF(基本情報入力シート!Y105="","",基本情報入力シート!Y105)</f>
        <v/>
      </c>
      <c r="L218" s="1421" t="str">
        <f>IF(基本情報入力シート!AB105="","",基本情報入力シート!AB105)</f>
        <v/>
      </c>
      <c r="M218" s="550" t="str">
        <f>IF('別紙様式2-2（４・５月分）'!P167="","",'別紙様式2-2（４・５月分）'!P167)</f>
        <v/>
      </c>
      <c r="N218" s="1391" t="str">
        <f>IF(SUM('別紙様式2-2（４・５月分）'!Q167:Q169)=0,"",SUM('別紙様式2-2（４・５月分）'!Q167:Q169))</f>
        <v/>
      </c>
      <c r="O218" s="1395" t="str">
        <f>IFERROR(VLOOKUP('別紙様式2-2（４・５月分）'!AQ167,【参考】数式用!$AR$5:$AS$22,2,FALSE),"")</f>
        <v/>
      </c>
      <c r="P218" s="1396"/>
      <c r="Q218" s="1397"/>
      <c r="R218" s="1531" t="str">
        <f>IFERROR(VLOOKUP(K218,【参考】数式用!$A$5:$AB$37,MATCH(O218,【参考】数式用!$B$4:$AB$4,0)+1,0),"")</f>
        <v/>
      </c>
      <c r="S218" s="1403" t="s">
        <v>2102</v>
      </c>
      <c r="T218" s="1527" t="str">
        <f>IF('別紙様式2-3（６月以降分）'!T218="","",'別紙様式2-3（６月以降分）'!T218)</f>
        <v/>
      </c>
      <c r="U218" s="1529" t="str">
        <f>IFERROR(VLOOKUP(K218,【参考】数式用!$A$5:$AB$37,MATCH(T218,【参考】数式用!$B$4:$AB$4,0)+1,0),"")</f>
        <v/>
      </c>
      <c r="V218" s="1409" t="s">
        <v>15</v>
      </c>
      <c r="W218" s="1525">
        <f>'別紙様式2-3（６月以降分）'!W218</f>
        <v>6</v>
      </c>
      <c r="X218" s="1349" t="s">
        <v>10</v>
      </c>
      <c r="Y218" s="1525">
        <f>'別紙様式2-3（６月以降分）'!Y218</f>
        <v>6</v>
      </c>
      <c r="Z218" s="1349" t="s">
        <v>38</v>
      </c>
      <c r="AA218" s="1525">
        <f>'別紙様式2-3（６月以降分）'!AA218</f>
        <v>7</v>
      </c>
      <c r="AB218" s="1349" t="s">
        <v>10</v>
      </c>
      <c r="AC218" s="1525">
        <f>'別紙様式2-3（６月以降分）'!AC218</f>
        <v>3</v>
      </c>
      <c r="AD218" s="1349" t="s">
        <v>2020</v>
      </c>
      <c r="AE218" s="1349" t="s">
        <v>20</v>
      </c>
      <c r="AF218" s="1349">
        <f>IF(W218&gt;=1,(AA218*12+AC218)-(W218*12+Y218)+1,"")</f>
        <v>10</v>
      </c>
      <c r="AG218" s="1351" t="s">
        <v>33</v>
      </c>
      <c r="AH218" s="1517" t="str">
        <f>'別紙様式2-3（６月以降分）'!AH218</f>
        <v/>
      </c>
      <c r="AI218" s="1519" t="str">
        <f>'別紙様式2-3（６月以降分）'!AI218</f>
        <v/>
      </c>
      <c r="AJ218" s="1521">
        <f>'別紙様式2-3（６月以降分）'!AJ218</f>
        <v>0</v>
      </c>
      <c r="AK218" s="1523" t="str">
        <f>IF('別紙様式2-3（６月以降分）'!AK218="","",'別紙様式2-3（６月以降分）'!AK218)</f>
        <v/>
      </c>
      <c r="AL218" s="1512">
        <f>'別紙様式2-3（６月以降分）'!AL218</f>
        <v>0</v>
      </c>
      <c r="AM218" s="1514" t="str">
        <f>IF('別紙様式2-3（６月以降分）'!AM218="","",'別紙様式2-3（６月以降分）'!AM218)</f>
        <v/>
      </c>
      <c r="AN218" s="1333" t="str">
        <f>IF('別紙様式2-3（６月以降分）'!AN218="","",'別紙様式2-3（６月以降分）'!AN218)</f>
        <v/>
      </c>
      <c r="AO218" s="1331" t="str">
        <f>IF('別紙様式2-3（６月以降分）'!AO218="","",'別紙様式2-3（６月以降分）'!AO218)</f>
        <v/>
      </c>
      <c r="AP218" s="1333" t="str">
        <f>IF('別紙様式2-3（６月以降分）'!AP218="","",'別紙様式2-3（６月以降分）'!AP218)</f>
        <v/>
      </c>
      <c r="AQ218" s="1481" t="str">
        <f>IF('別紙様式2-3（６月以降分）'!AQ218="","",'別紙様式2-3（６月以降分）'!AQ218)</f>
        <v/>
      </c>
      <c r="AR218" s="1484" t="str">
        <f>IF('別紙様式2-3（６月以降分）'!AR218="","",'別紙様式2-3（６月以降分）'!AR218)</f>
        <v/>
      </c>
      <c r="AS218" s="570" t="str">
        <f t="shared" ref="AS218" si="350">IF(AU220="","",IF(U220&lt;U218,"！加算の要件上は問題ありませんが、令和６年度当初の新加算の加算率と比較して、移行後の加算率が下がる計画になっています。",""))</f>
        <v/>
      </c>
      <c r="AT218" s="577"/>
      <c r="AU218" s="1301"/>
      <c r="AV218" s="555" t="str">
        <f>IF('別紙様式2-2（４・５月分）'!N167="","",'別紙様式2-2（４・５月分）'!N167)</f>
        <v/>
      </c>
      <c r="AW218" s="1305" t="str">
        <f>IF(SUM('別紙様式2-2（４・５月分）'!O167:O169)=0,"",SUM('別紙様式2-2（４・５月分）'!O167:O169))</f>
        <v/>
      </c>
      <c r="AX218" s="1473" t="str">
        <f>IFERROR(VLOOKUP(K218,【参考】数式用!$AH$2:$AI$34,2,FALSE),"")</f>
        <v/>
      </c>
      <c r="AY218" s="493"/>
      <c r="BD218" s="340"/>
      <c r="BE218" s="1303" t="str">
        <f>G218</f>
        <v/>
      </c>
      <c r="BF218" s="1303"/>
      <c r="BG218" s="1303"/>
    </row>
    <row r="219" spans="1:59" ht="15" customHeight="1">
      <c r="A219" s="1267"/>
      <c r="B219" s="1235"/>
      <c r="C219" s="1236"/>
      <c r="D219" s="1236"/>
      <c r="E219" s="1236"/>
      <c r="F219" s="1237"/>
      <c r="G219" s="1252"/>
      <c r="H219" s="1252"/>
      <c r="I219" s="1252"/>
      <c r="J219" s="1415"/>
      <c r="K219" s="1252"/>
      <c r="L219" s="1421"/>
      <c r="M219" s="1371" t="str">
        <f>IF('別紙様式2-2（４・５月分）'!P168="","",'別紙様式2-2（４・５月分）'!P168)</f>
        <v/>
      </c>
      <c r="N219" s="1392"/>
      <c r="O219" s="1398"/>
      <c r="P219" s="1399"/>
      <c r="Q219" s="1400"/>
      <c r="R219" s="1532"/>
      <c r="S219" s="1404"/>
      <c r="T219" s="1528"/>
      <c r="U219" s="1530"/>
      <c r="V219" s="1410"/>
      <c r="W219" s="1526"/>
      <c r="X219" s="1350"/>
      <c r="Y219" s="1526"/>
      <c r="Z219" s="1350"/>
      <c r="AA219" s="1526"/>
      <c r="AB219" s="1350"/>
      <c r="AC219" s="1526"/>
      <c r="AD219" s="1350"/>
      <c r="AE219" s="1350"/>
      <c r="AF219" s="1350"/>
      <c r="AG219" s="1352"/>
      <c r="AH219" s="1518"/>
      <c r="AI219" s="1520"/>
      <c r="AJ219" s="1522"/>
      <c r="AK219" s="1524"/>
      <c r="AL219" s="1513"/>
      <c r="AM219" s="1515"/>
      <c r="AN219" s="1334"/>
      <c r="AO219" s="1516"/>
      <c r="AP219" s="1334"/>
      <c r="AQ219" s="1482"/>
      <c r="AR219" s="1485"/>
      <c r="AS219" s="1483" t="str">
        <f t="shared" ref="AS219" si="351">IF(AU220="","",IF(OR(AA220="",AA220&lt;&gt;7,AC220="",AC220&lt;&gt;3),"！算定期間の終わりが令和７年３月になっていません。年度内の廃止予定等がなければ、算定対象月を令和７年３月にしてください。",""))</f>
        <v/>
      </c>
      <c r="AT219" s="577"/>
      <c r="AU219" s="1303"/>
      <c r="AV219" s="1304" t="str">
        <f>IF('別紙様式2-2（４・５月分）'!N168="","",'別紙様式2-2（４・５月分）'!N168)</f>
        <v/>
      </c>
      <c r="AW219" s="1305"/>
      <c r="AX219" s="1474"/>
      <c r="AY219" s="430"/>
      <c r="BD219" s="340"/>
      <c r="BE219" s="1303" t="str">
        <f>G218</f>
        <v/>
      </c>
      <c r="BF219" s="1303"/>
      <c r="BG219" s="1303"/>
    </row>
    <row r="220" spans="1:59" ht="15" customHeight="1">
      <c r="A220" s="1295"/>
      <c r="B220" s="1235"/>
      <c r="C220" s="1236"/>
      <c r="D220" s="1236"/>
      <c r="E220" s="1236"/>
      <c r="F220" s="1237"/>
      <c r="G220" s="1252"/>
      <c r="H220" s="1252"/>
      <c r="I220" s="1252"/>
      <c r="J220" s="1415"/>
      <c r="K220" s="1252"/>
      <c r="L220" s="1421"/>
      <c r="M220" s="1372"/>
      <c r="N220" s="1393"/>
      <c r="O220" s="1373" t="s">
        <v>2025</v>
      </c>
      <c r="P220" s="1425" t="str">
        <f>IFERROR(VLOOKUP('別紙様式2-2（４・５月分）'!AQ167,【参考】数式用!$AR$5:$AT$22,3,FALSE),"")</f>
        <v/>
      </c>
      <c r="Q220" s="1377" t="s">
        <v>2036</v>
      </c>
      <c r="R220" s="1508" t="str">
        <f>IFERROR(VLOOKUP(K218,【参考】数式用!$A$5:$AB$37,MATCH(P220,【参考】数式用!$B$4:$AB$4,0)+1,0),"")</f>
        <v/>
      </c>
      <c r="S220" s="1381" t="s">
        <v>2109</v>
      </c>
      <c r="T220" s="1510"/>
      <c r="U220" s="1506" t="str">
        <f>IFERROR(VLOOKUP(K218,【参考】数式用!$A$5:$AB$37,MATCH(T220,【参考】数式用!$B$4:$AB$4,0)+1,0),"")</f>
        <v/>
      </c>
      <c r="V220" s="1387" t="s">
        <v>15</v>
      </c>
      <c r="W220" s="1504"/>
      <c r="X220" s="1363" t="s">
        <v>10</v>
      </c>
      <c r="Y220" s="1504"/>
      <c r="Z220" s="1363" t="s">
        <v>38</v>
      </c>
      <c r="AA220" s="1504"/>
      <c r="AB220" s="1363" t="s">
        <v>10</v>
      </c>
      <c r="AC220" s="1504"/>
      <c r="AD220" s="1363" t="s">
        <v>2020</v>
      </c>
      <c r="AE220" s="1363" t="s">
        <v>20</v>
      </c>
      <c r="AF220" s="1363" t="str">
        <f>IF(W220&gt;=1,(AA220*12+AC220)-(W220*12+Y220)+1,"")</f>
        <v/>
      </c>
      <c r="AG220" s="1359" t="s">
        <v>33</v>
      </c>
      <c r="AH220" s="1365" t="str">
        <f t="shared" ref="AH220" si="352">IFERROR(ROUNDDOWN(ROUND(L218*U220,0),0)*AF220,"")</f>
        <v/>
      </c>
      <c r="AI220" s="1498" t="str">
        <f t="shared" ref="AI220" si="353">IFERROR(ROUNDDOWN(ROUND((L218*(U220-AW218)),0),0)*AF220,"")</f>
        <v/>
      </c>
      <c r="AJ220" s="1369" t="str">
        <f>IFERROR(ROUNDDOWN(ROUNDDOWN(ROUND(L218*VLOOKUP(K218,【参考】数式用!$A$5:$AB$27,MATCH("新加算Ⅳ",【参考】数式用!$B$4:$AB$4,0)+1,0),0),0)*AF220*0.5,0),"")</f>
        <v/>
      </c>
      <c r="AK220" s="1500"/>
      <c r="AL220" s="1502" t="str">
        <f>IFERROR(IF('別紙様式2-2（４・５月分）'!P220="ベア加算","", IF(OR(T220="新加算Ⅰ",T220="新加算Ⅱ",T220="新加算Ⅲ",T220="新加算Ⅳ"),ROUNDDOWN(ROUND(L218*VLOOKUP(K218,【参考】数式用!$A$5:$I$27,MATCH("ベア加算",【参考】数式用!$B$4:$I$4,0)+1,0),0),0)*AF220,"")),"")</f>
        <v/>
      </c>
      <c r="AM220" s="1494"/>
      <c r="AN220" s="1475"/>
      <c r="AO220" s="1496"/>
      <c r="AP220" s="1475"/>
      <c r="AQ220" s="1477"/>
      <c r="AR220" s="1479"/>
      <c r="AS220" s="1483"/>
      <c r="AT220" s="451"/>
      <c r="AU220" s="1303" t="str">
        <f>IF(AND(AA218&lt;&gt;7,AC218&lt;&gt;3),"V列に色付け","")</f>
        <v/>
      </c>
      <c r="AV220" s="1304"/>
      <c r="AW220" s="1305"/>
      <c r="AX220" s="574"/>
      <c r="AY220" s="1222" t="str">
        <f>IF(AL220&lt;&gt;"",IF(AM220="○","入力済","未入力"),"")</f>
        <v/>
      </c>
      <c r="AZ220" s="1222"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2" t="str">
        <f>IF(OR(T220="新加算Ⅴ（７）",T220="新加算Ⅴ（９）",T220="新加算Ⅴ（10）",T220="新加算Ⅴ（12）",T220="新加算Ⅴ（13）",T220="新加算Ⅴ（14）"),IF(OR(AO220="○",AO220="令和６年度中に満たす"),"入力済","未入力"),"")</f>
        <v/>
      </c>
      <c r="BB220" s="1222" t="str">
        <f>IF(OR(T220="新加算Ⅰ",T220="新加算Ⅱ",T220="新加算Ⅲ",T220="新加算Ⅴ（１）",T220="新加算Ⅴ（３）",T220="新加算Ⅴ（８）"),IF(OR(AP220="○",AP220="令和６年度中に満たす"),"入力済","未入力"),"")</f>
        <v/>
      </c>
      <c r="BC220" s="1472"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03" t="str">
        <f>IF(OR(T220="新加算Ⅰ",T220="新加算Ⅴ（１）",T220="新加算Ⅴ（２）",T220="新加算Ⅴ（５）",T220="新加算Ⅴ（７）",T220="新加算Ⅴ（10）"),IF(AR220="","未入力","入力済"),"")</f>
        <v/>
      </c>
      <c r="BE220" s="1303" t="str">
        <f>G218</f>
        <v/>
      </c>
      <c r="BF220" s="1303"/>
      <c r="BG220" s="1303"/>
    </row>
    <row r="221" spans="1:59" ht="30" customHeight="1" thickBot="1">
      <c r="A221" s="1268"/>
      <c r="B221" s="1411"/>
      <c r="C221" s="1412"/>
      <c r="D221" s="1412"/>
      <c r="E221" s="1412"/>
      <c r="F221" s="1413"/>
      <c r="G221" s="1253"/>
      <c r="H221" s="1253"/>
      <c r="I221" s="1253"/>
      <c r="J221" s="1416"/>
      <c r="K221" s="1253"/>
      <c r="L221" s="1422"/>
      <c r="M221" s="553" t="str">
        <f>IF('別紙様式2-2（４・５月分）'!P169="","",'別紙様式2-2（４・５月分）'!P169)</f>
        <v/>
      </c>
      <c r="N221" s="1394"/>
      <c r="O221" s="1374"/>
      <c r="P221" s="1426"/>
      <c r="Q221" s="1378"/>
      <c r="R221" s="1509"/>
      <c r="S221" s="1382"/>
      <c r="T221" s="1511"/>
      <c r="U221" s="1507"/>
      <c r="V221" s="1388"/>
      <c r="W221" s="1505"/>
      <c r="X221" s="1364"/>
      <c r="Y221" s="1505"/>
      <c r="Z221" s="1364"/>
      <c r="AA221" s="1505"/>
      <c r="AB221" s="1364"/>
      <c r="AC221" s="1505"/>
      <c r="AD221" s="1364"/>
      <c r="AE221" s="1364"/>
      <c r="AF221" s="1364"/>
      <c r="AG221" s="1360"/>
      <c r="AH221" s="1366"/>
      <c r="AI221" s="1499"/>
      <c r="AJ221" s="1370"/>
      <c r="AK221" s="1501"/>
      <c r="AL221" s="1503"/>
      <c r="AM221" s="1495"/>
      <c r="AN221" s="1476"/>
      <c r="AO221" s="1497"/>
      <c r="AP221" s="1476"/>
      <c r="AQ221" s="1478"/>
      <c r="AR221" s="1480"/>
      <c r="AS221" s="575"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1"/>
      <c r="AU221" s="1303"/>
      <c r="AV221" s="555" t="str">
        <f>IF('別紙様式2-2（４・５月分）'!N169="","",'別紙様式2-2（４・５月分）'!N169)</f>
        <v/>
      </c>
      <c r="AW221" s="1305"/>
      <c r="AX221" s="576"/>
      <c r="AY221" s="1222" t="str">
        <f>IF(OR(T221="新加算Ⅰ",T221="新加算Ⅱ",T221="新加算Ⅲ",T221="新加算Ⅳ",T221="新加算Ⅴ（１）",T221="新加算Ⅴ（２）",T221="新加算Ⅴ（３）",T221="新加算ⅠⅤ（４）",T221="新加算Ⅴ（５）",T221="新加算Ⅴ（６）",T221="新加算Ⅴ（８）",T221="新加算Ⅴ（11）"),IF(AI221="○","","未入力"),"")</f>
        <v/>
      </c>
      <c r="AZ221" s="1222" t="str">
        <f>IF(OR(U221="新加算Ⅰ",U221="新加算Ⅱ",U221="新加算Ⅲ",U221="新加算Ⅳ",U221="新加算Ⅴ（１）",U221="新加算Ⅴ（２）",U221="新加算Ⅴ（３）",U221="新加算ⅠⅤ（４）",U221="新加算Ⅴ（５）",U221="新加算Ⅴ（６）",U221="新加算Ⅴ（８）",U221="新加算Ⅴ（11）"),IF(AJ221="○","","未入力"),"")</f>
        <v/>
      </c>
      <c r="BA221" s="1222" t="str">
        <f>IF(OR(U221="新加算Ⅴ（７）",U221="新加算Ⅴ（９）",U221="新加算Ⅴ（10）",U221="新加算Ⅴ（12）",U221="新加算Ⅴ（13）",U221="新加算Ⅴ（14）"),IF(AK221="○","","未入力"),"")</f>
        <v/>
      </c>
      <c r="BB221" s="1222" t="str">
        <f>IF(OR(U221="新加算Ⅰ",U221="新加算Ⅱ",U221="新加算Ⅲ",U221="新加算Ⅴ（１）",U221="新加算Ⅴ（３）",U221="新加算Ⅴ（８）"),IF(AL221="○","","未入力"),"")</f>
        <v/>
      </c>
      <c r="BC221" s="1472"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03" t="str">
        <f>IF(AND(T221&lt;&gt;"（参考）令和７年度の移行予定",OR(U221="新加算Ⅰ",U221="新加算Ⅴ（１）",U221="新加算Ⅴ（２）",U221="新加算Ⅴ（５）",U221="新加算Ⅴ（７）",U221="新加算Ⅴ（10）")),IF(AN221="","未入力",IF(AN221="いずれも取得していない","要件を満たさない","")),"")</f>
        <v/>
      </c>
      <c r="BE221" s="1303" t="str">
        <f>G218</f>
        <v/>
      </c>
      <c r="BF221" s="1303"/>
      <c r="BG221" s="1303"/>
    </row>
    <row r="222" spans="1:59" ht="30" customHeight="1">
      <c r="A222" s="1266">
        <v>53</v>
      </c>
      <c r="B222" s="1232" t="str">
        <f>IF(基本情報入力シート!C106="","",基本情報入力シート!C106)</f>
        <v/>
      </c>
      <c r="C222" s="1233"/>
      <c r="D222" s="1233"/>
      <c r="E222" s="1233"/>
      <c r="F222" s="1234"/>
      <c r="G222" s="1251" t="str">
        <f>IF(基本情報入力シート!M106="","",基本情報入力シート!M106)</f>
        <v/>
      </c>
      <c r="H222" s="1251" t="str">
        <f>IF(基本情報入力シート!R106="","",基本情報入力シート!R106)</f>
        <v/>
      </c>
      <c r="I222" s="1251" t="str">
        <f>IF(基本情報入力シート!W106="","",基本情報入力シート!W106)</f>
        <v/>
      </c>
      <c r="J222" s="1414" t="str">
        <f>IF(基本情報入力シート!X106="","",基本情報入力シート!X106)</f>
        <v/>
      </c>
      <c r="K222" s="1251" t="str">
        <f>IF(基本情報入力シート!Y106="","",基本情報入力シート!Y106)</f>
        <v/>
      </c>
      <c r="L222" s="1427" t="str">
        <f>IF(基本情報入力シート!AB106="","",基本情報入力シート!AB106)</f>
        <v/>
      </c>
      <c r="M222" s="550" t="str">
        <f>IF('別紙様式2-2（４・５月分）'!P170="","",'別紙様式2-2（４・５月分）'!P170)</f>
        <v/>
      </c>
      <c r="N222" s="1391" t="str">
        <f>IF(SUM('別紙様式2-2（４・５月分）'!Q170:Q172)=0,"",SUM('別紙様式2-2（４・５月分）'!Q170:Q172))</f>
        <v/>
      </c>
      <c r="O222" s="1395" t="str">
        <f>IFERROR(VLOOKUP('別紙様式2-2（４・５月分）'!AQ170,【参考】数式用!$AR$5:$AS$22,2,FALSE),"")</f>
        <v/>
      </c>
      <c r="P222" s="1396"/>
      <c r="Q222" s="1397"/>
      <c r="R222" s="1531" t="str">
        <f>IFERROR(VLOOKUP(K222,【参考】数式用!$A$5:$AB$37,MATCH(O222,【参考】数式用!$B$4:$AB$4,0)+1,0),"")</f>
        <v/>
      </c>
      <c r="S222" s="1403" t="s">
        <v>2102</v>
      </c>
      <c r="T222" s="1527" t="str">
        <f>IF('別紙様式2-3（６月以降分）'!T222="","",'別紙様式2-3（６月以降分）'!T222)</f>
        <v/>
      </c>
      <c r="U222" s="1529" t="str">
        <f>IFERROR(VLOOKUP(K222,【参考】数式用!$A$5:$AB$37,MATCH(T222,【参考】数式用!$B$4:$AB$4,0)+1,0),"")</f>
        <v/>
      </c>
      <c r="V222" s="1409" t="s">
        <v>15</v>
      </c>
      <c r="W222" s="1525">
        <f>'別紙様式2-3（６月以降分）'!W222</f>
        <v>6</v>
      </c>
      <c r="X222" s="1349" t="s">
        <v>10</v>
      </c>
      <c r="Y222" s="1525">
        <f>'別紙様式2-3（６月以降分）'!Y222</f>
        <v>6</v>
      </c>
      <c r="Z222" s="1349" t="s">
        <v>38</v>
      </c>
      <c r="AA222" s="1525">
        <f>'別紙様式2-3（６月以降分）'!AA222</f>
        <v>7</v>
      </c>
      <c r="AB222" s="1349" t="s">
        <v>10</v>
      </c>
      <c r="AC222" s="1525">
        <f>'別紙様式2-3（６月以降分）'!AC222</f>
        <v>3</v>
      </c>
      <c r="AD222" s="1349" t="s">
        <v>2020</v>
      </c>
      <c r="AE222" s="1349" t="s">
        <v>20</v>
      </c>
      <c r="AF222" s="1349">
        <f>IF(W222&gt;=1,(AA222*12+AC222)-(W222*12+Y222)+1,"")</f>
        <v>10</v>
      </c>
      <c r="AG222" s="1351" t="s">
        <v>33</v>
      </c>
      <c r="AH222" s="1517" t="str">
        <f>'別紙様式2-3（６月以降分）'!AH222</f>
        <v/>
      </c>
      <c r="AI222" s="1519" t="str">
        <f>'別紙様式2-3（６月以降分）'!AI222</f>
        <v/>
      </c>
      <c r="AJ222" s="1521">
        <f>'別紙様式2-3（６月以降分）'!AJ222</f>
        <v>0</v>
      </c>
      <c r="AK222" s="1523" t="str">
        <f>IF('別紙様式2-3（６月以降分）'!AK222="","",'別紙様式2-3（６月以降分）'!AK222)</f>
        <v/>
      </c>
      <c r="AL222" s="1512">
        <f>'別紙様式2-3（６月以降分）'!AL222</f>
        <v>0</v>
      </c>
      <c r="AM222" s="1514" t="str">
        <f>IF('別紙様式2-3（６月以降分）'!AM222="","",'別紙様式2-3（６月以降分）'!AM222)</f>
        <v/>
      </c>
      <c r="AN222" s="1333" t="str">
        <f>IF('別紙様式2-3（６月以降分）'!AN222="","",'別紙様式2-3（６月以降分）'!AN222)</f>
        <v/>
      </c>
      <c r="AO222" s="1331" t="str">
        <f>IF('別紙様式2-3（６月以降分）'!AO222="","",'別紙様式2-3（６月以降分）'!AO222)</f>
        <v/>
      </c>
      <c r="AP222" s="1333" t="str">
        <f>IF('別紙様式2-3（６月以降分）'!AP222="","",'別紙様式2-3（６月以降分）'!AP222)</f>
        <v/>
      </c>
      <c r="AQ222" s="1481" t="str">
        <f>IF('別紙様式2-3（６月以降分）'!AQ222="","",'別紙様式2-3（６月以降分）'!AQ222)</f>
        <v/>
      </c>
      <c r="AR222" s="1484" t="str">
        <f>IF('別紙様式2-3（６月以降分）'!AR222="","",'別紙様式2-3（６月以降分）'!AR222)</f>
        <v/>
      </c>
      <c r="AS222" s="570" t="str">
        <f t="shared" ref="AS222" si="357">IF(AU224="","",IF(U224&lt;U222,"！加算の要件上は問題ありませんが、令和６年度当初の新加算の加算率と比較して、移行後の加算率が下がる計画になっています。",""))</f>
        <v/>
      </c>
      <c r="AT222" s="577"/>
      <c r="AU222" s="1301"/>
      <c r="AV222" s="555" t="str">
        <f>IF('別紙様式2-2（４・５月分）'!N170="","",'別紙様式2-2（４・５月分）'!N170)</f>
        <v/>
      </c>
      <c r="AW222" s="1305" t="str">
        <f>IF(SUM('別紙様式2-2（４・５月分）'!O170:O172)=0,"",SUM('別紙様式2-2（４・５月分）'!O170:O172))</f>
        <v/>
      </c>
      <c r="AX222" s="1473" t="str">
        <f>IFERROR(VLOOKUP(K222,【参考】数式用!$AH$2:$AI$34,2,FALSE),"")</f>
        <v/>
      </c>
      <c r="AY222" s="493"/>
      <c r="BD222" s="340"/>
      <c r="BE222" s="1303" t="str">
        <f>G222</f>
        <v/>
      </c>
      <c r="BF222" s="1303"/>
      <c r="BG222" s="1303"/>
    </row>
    <row r="223" spans="1:59" ht="15" customHeight="1">
      <c r="A223" s="1267"/>
      <c r="B223" s="1235"/>
      <c r="C223" s="1236"/>
      <c r="D223" s="1236"/>
      <c r="E223" s="1236"/>
      <c r="F223" s="1237"/>
      <c r="G223" s="1252"/>
      <c r="H223" s="1252"/>
      <c r="I223" s="1252"/>
      <c r="J223" s="1415"/>
      <c r="K223" s="1252"/>
      <c r="L223" s="1421"/>
      <c r="M223" s="1371" t="str">
        <f>IF('別紙様式2-2（４・５月分）'!P171="","",'別紙様式2-2（４・５月分）'!P171)</f>
        <v/>
      </c>
      <c r="N223" s="1392"/>
      <c r="O223" s="1398"/>
      <c r="P223" s="1399"/>
      <c r="Q223" s="1400"/>
      <c r="R223" s="1532"/>
      <c r="S223" s="1404"/>
      <c r="T223" s="1528"/>
      <c r="U223" s="1530"/>
      <c r="V223" s="1410"/>
      <c r="W223" s="1526"/>
      <c r="X223" s="1350"/>
      <c r="Y223" s="1526"/>
      <c r="Z223" s="1350"/>
      <c r="AA223" s="1526"/>
      <c r="AB223" s="1350"/>
      <c r="AC223" s="1526"/>
      <c r="AD223" s="1350"/>
      <c r="AE223" s="1350"/>
      <c r="AF223" s="1350"/>
      <c r="AG223" s="1352"/>
      <c r="AH223" s="1518"/>
      <c r="AI223" s="1520"/>
      <c r="AJ223" s="1522"/>
      <c r="AK223" s="1524"/>
      <c r="AL223" s="1513"/>
      <c r="AM223" s="1515"/>
      <c r="AN223" s="1334"/>
      <c r="AO223" s="1516"/>
      <c r="AP223" s="1334"/>
      <c r="AQ223" s="1482"/>
      <c r="AR223" s="1485"/>
      <c r="AS223" s="1483" t="str">
        <f t="shared" ref="AS223" si="358">IF(AU224="","",IF(OR(AA224="",AA224&lt;&gt;7,AC224="",AC224&lt;&gt;3),"！算定期間の終わりが令和７年３月になっていません。年度内の廃止予定等がなければ、算定対象月を令和７年３月にしてください。",""))</f>
        <v/>
      </c>
      <c r="AT223" s="577"/>
      <c r="AU223" s="1303"/>
      <c r="AV223" s="1304" t="str">
        <f>IF('別紙様式2-2（４・５月分）'!N171="","",'別紙様式2-2（４・５月分）'!N171)</f>
        <v/>
      </c>
      <c r="AW223" s="1305"/>
      <c r="AX223" s="1474"/>
      <c r="AY223" s="430"/>
      <c r="BD223" s="340"/>
      <c r="BE223" s="1303" t="str">
        <f>G222</f>
        <v/>
      </c>
      <c r="BF223" s="1303"/>
      <c r="BG223" s="1303"/>
    </row>
    <row r="224" spans="1:59" ht="15" customHeight="1">
      <c r="A224" s="1295"/>
      <c r="B224" s="1235"/>
      <c r="C224" s="1236"/>
      <c r="D224" s="1236"/>
      <c r="E224" s="1236"/>
      <c r="F224" s="1237"/>
      <c r="G224" s="1252"/>
      <c r="H224" s="1252"/>
      <c r="I224" s="1252"/>
      <c r="J224" s="1415"/>
      <c r="K224" s="1252"/>
      <c r="L224" s="1421"/>
      <c r="M224" s="1372"/>
      <c r="N224" s="1393"/>
      <c r="O224" s="1373" t="s">
        <v>2025</v>
      </c>
      <c r="P224" s="1425" t="str">
        <f>IFERROR(VLOOKUP('別紙様式2-2（４・５月分）'!AQ170,【参考】数式用!$AR$5:$AT$22,3,FALSE),"")</f>
        <v/>
      </c>
      <c r="Q224" s="1377" t="s">
        <v>2036</v>
      </c>
      <c r="R224" s="1508" t="str">
        <f>IFERROR(VLOOKUP(K222,【参考】数式用!$A$5:$AB$37,MATCH(P224,【参考】数式用!$B$4:$AB$4,0)+1,0),"")</f>
        <v/>
      </c>
      <c r="S224" s="1381" t="s">
        <v>2109</v>
      </c>
      <c r="T224" s="1510"/>
      <c r="U224" s="1506" t="str">
        <f>IFERROR(VLOOKUP(K222,【参考】数式用!$A$5:$AB$37,MATCH(T224,【参考】数式用!$B$4:$AB$4,0)+1,0),"")</f>
        <v/>
      </c>
      <c r="V224" s="1387" t="s">
        <v>15</v>
      </c>
      <c r="W224" s="1504"/>
      <c r="X224" s="1363" t="s">
        <v>10</v>
      </c>
      <c r="Y224" s="1504"/>
      <c r="Z224" s="1363" t="s">
        <v>38</v>
      </c>
      <c r="AA224" s="1504"/>
      <c r="AB224" s="1363" t="s">
        <v>10</v>
      </c>
      <c r="AC224" s="1504"/>
      <c r="AD224" s="1363" t="s">
        <v>2020</v>
      </c>
      <c r="AE224" s="1363" t="s">
        <v>20</v>
      </c>
      <c r="AF224" s="1363" t="str">
        <f>IF(W224&gt;=1,(AA224*12+AC224)-(W224*12+Y224)+1,"")</f>
        <v/>
      </c>
      <c r="AG224" s="1359" t="s">
        <v>33</v>
      </c>
      <c r="AH224" s="1365" t="str">
        <f t="shared" ref="AH224" si="359">IFERROR(ROUNDDOWN(ROUND(L222*U224,0),0)*AF224,"")</f>
        <v/>
      </c>
      <c r="AI224" s="1498" t="str">
        <f t="shared" ref="AI224" si="360">IFERROR(ROUNDDOWN(ROUND((L222*(U224-AW222)),0),0)*AF224,"")</f>
        <v/>
      </c>
      <c r="AJ224" s="1369" t="str">
        <f>IFERROR(ROUNDDOWN(ROUNDDOWN(ROUND(L222*VLOOKUP(K222,【参考】数式用!$A$5:$AB$27,MATCH("新加算Ⅳ",【参考】数式用!$B$4:$AB$4,0)+1,0),0),0)*AF224*0.5,0),"")</f>
        <v/>
      </c>
      <c r="AK224" s="1500"/>
      <c r="AL224" s="1502" t="str">
        <f>IFERROR(IF('別紙様式2-2（４・５月分）'!P224="ベア加算","", IF(OR(T224="新加算Ⅰ",T224="新加算Ⅱ",T224="新加算Ⅲ",T224="新加算Ⅳ"),ROUNDDOWN(ROUND(L222*VLOOKUP(K222,【参考】数式用!$A$5:$I$27,MATCH("ベア加算",【参考】数式用!$B$4:$I$4,0)+1,0),0),0)*AF224,"")),"")</f>
        <v/>
      </c>
      <c r="AM224" s="1494"/>
      <c r="AN224" s="1475"/>
      <c r="AO224" s="1496"/>
      <c r="AP224" s="1475"/>
      <c r="AQ224" s="1477"/>
      <c r="AR224" s="1479"/>
      <c r="AS224" s="1483"/>
      <c r="AT224" s="451"/>
      <c r="AU224" s="1303" t="str">
        <f>IF(AND(AA222&lt;&gt;7,AC222&lt;&gt;3),"V列に色付け","")</f>
        <v/>
      </c>
      <c r="AV224" s="1304"/>
      <c r="AW224" s="1305"/>
      <c r="AX224" s="574"/>
      <c r="AY224" s="1222" t="str">
        <f>IF(AL224&lt;&gt;"",IF(AM224="○","入力済","未入力"),"")</f>
        <v/>
      </c>
      <c r="AZ224" s="1222"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2" t="str">
        <f>IF(OR(T224="新加算Ⅴ（７）",T224="新加算Ⅴ（９）",T224="新加算Ⅴ（10）",T224="新加算Ⅴ（12）",T224="新加算Ⅴ（13）",T224="新加算Ⅴ（14）"),IF(OR(AO224="○",AO224="令和６年度中に満たす"),"入力済","未入力"),"")</f>
        <v/>
      </c>
      <c r="BB224" s="1222" t="str">
        <f>IF(OR(T224="新加算Ⅰ",T224="新加算Ⅱ",T224="新加算Ⅲ",T224="新加算Ⅴ（１）",T224="新加算Ⅴ（３）",T224="新加算Ⅴ（８）"),IF(OR(AP224="○",AP224="令和６年度中に満たす"),"入力済","未入力"),"")</f>
        <v/>
      </c>
      <c r="BC224" s="1472"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03" t="str">
        <f>IF(OR(T224="新加算Ⅰ",T224="新加算Ⅴ（１）",T224="新加算Ⅴ（２）",T224="新加算Ⅴ（５）",T224="新加算Ⅴ（７）",T224="新加算Ⅴ（10）"),IF(AR224="","未入力","入力済"),"")</f>
        <v/>
      </c>
      <c r="BE224" s="1303" t="str">
        <f>G222</f>
        <v/>
      </c>
      <c r="BF224" s="1303"/>
      <c r="BG224" s="1303"/>
    </row>
    <row r="225" spans="1:59" ht="30" customHeight="1" thickBot="1">
      <c r="A225" s="1268"/>
      <c r="B225" s="1411"/>
      <c r="C225" s="1412"/>
      <c r="D225" s="1412"/>
      <c r="E225" s="1412"/>
      <c r="F225" s="1413"/>
      <c r="G225" s="1253"/>
      <c r="H225" s="1253"/>
      <c r="I225" s="1253"/>
      <c r="J225" s="1416"/>
      <c r="K225" s="1253"/>
      <c r="L225" s="1422"/>
      <c r="M225" s="553" t="str">
        <f>IF('別紙様式2-2（４・５月分）'!P172="","",'別紙様式2-2（４・５月分）'!P172)</f>
        <v/>
      </c>
      <c r="N225" s="1394"/>
      <c r="O225" s="1374"/>
      <c r="P225" s="1426"/>
      <c r="Q225" s="1378"/>
      <c r="R225" s="1509"/>
      <c r="S225" s="1382"/>
      <c r="T225" s="1511"/>
      <c r="U225" s="1507"/>
      <c r="V225" s="1388"/>
      <c r="W225" s="1505"/>
      <c r="X225" s="1364"/>
      <c r="Y225" s="1505"/>
      <c r="Z225" s="1364"/>
      <c r="AA225" s="1505"/>
      <c r="AB225" s="1364"/>
      <c r="AC225" s="1505"/>
      <c r="AD225" s="1364"/>
      <c r="AE225" s="1364"/>
      <c r="AF225" s="1364"/>
      <c r="AG225" s="1360"/>
      <c r="AH225" s="1366"/>
      <c r="AI225" s="1499"/>
      <c r="AJ225" s="1370"/>
      <c r="AK225" s="1501"/>
      <c r="AL225" s="1503"/>
      <c r="AM225" s="1495"/>
      <c r="AN225" s="1476"/>
      <c r="AO225" s="1497"/>
      <c r="AP225" s="1476"/>
      <c r="AQ225" s="1478"/>
      <c r="AR225" s="1480"/>
      <c r="AS225" s="575"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1"/>
      <c r="AU225" s="1303"/>
      <c r="AV225" s="555" t="str">
        <f>IF('別紙様式2-2（４・５月分）'!N172="","",'別紙様式2-2（４・５月分）'!N172)</f>
        <v/>
      </c>
      <c r="AW225" s="1305"/>
      <c r="AX225" s="576"/>
      <c r="AY225" s="1222" t="str">
        <f>IF(OR(T225="新加算Ⅰ",T225="新加算Ⅱ",T225="新加算Ⅲ",T225="新加算Ⅳ",T225="新加算Ⅴ（１）",T225="新加算Ⅴ（２）",T225="新加算Ⅴ（３）",T225="新加算ⅠⅤ（４）",T225="新加算Ⅴ（５）",T225="新加算Ⅴ（６）",T225="新加算Ⅴ（８）",T225="新加算Ⅴ（11）"),IF(AI225="○","","未入力"),"")</f>
        <v/>
      </c>
      <c r="AZ225" s="1222" t="str">
        <f>IF(OR(U225="新加算Ⅰ",U225="新加算Ⅱ",U225="新加算Ⅲ",U225="新加算Ⅳ",U225="新加算Ⅴ（１）",U225="新加算Ⅴ（２）",U225="新加算Ⅴ（３）",U225="新加算ⅠⅤ（４）",U225="新加算Ⅴ（５）",U225="新加算Ⅴ（６）",U225="新加算Ⅴ（８）",U225="新加算Ⅴ（11）"),IF(AJ225="○","","未入力"),"")</f>
        <v/>
      </c>
      <c r="BA225" s="1222" t="str">
        <f>IF(OR(U225="新加算Ⅴ（７）",U225="新加算Ⅴ（９）",U225="新加算Ⅴ（10）",U225="新加算Ⅴ（12）",U225="新加算Ⅴ（13）",U225="新加算Ⅴ（14）"),IF(AK225="○","","未入力"),"")</f>
        <v/>
      </c>
      <c r="BB225" s="1222" t="str">
        <f>IF(OR(U225="新加算Ⅰ",U225="新加算Ⅱ",U225="新加算Ⅲ",U225="新加算Ⅴ（１）",U225="新加算Ⅴ（３）",U225="新加算Ⅴ（８）"),IF(AL225="○","","未入力"),"")</f>
        <v/>
      </c>
      <c r="BC225" s="1472"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03" t="str">
        <f>IF(AND(T225&lt;&gt;"（参考）令和７年度の移行予定",OR(U225="新加算Ⅰ",U225="新加算Ⅴ（１）",U225="新加算Ⅴ（２）",U225="新加算Ⅴ（５）",U225="新加算Ⅴ（７）",U225="新加算Ⅴ（10）")),IF(AN225="","未入力",IF(AN225="いずれも取得していない","要件を満たさない","")),"")</f>
        <v/>
      </c>
      <c r="BE225" s="1303" t="str">
        <f>G222</f>
        <v/>
      </c>
      <c r="BF225" s="1303"/>
      <c r="BG225" s="1303"/>
    </row>
    <row r="226" spans="1:59" ht="30" customHeight="1">
      <c r="A226" s="1293">
        <v>54</v>
      </c>
      <c r="B226" s="1235" t="str">
        <f>IF(基本情報入力シート!C107="","",基本情報入力シート!C107)</f>
        <v/>
      </c>
      <c r="C226" s="1236"/>
      <c r="D226" s="1236"/>
      <c r="E226" s="1236"/>
      <c r="F226" s="1237"/>
      <c r="G226" s="1252" t="str">
        <f>IF(基本情報入力シート!M107="","",基本情報入力シート!M107)</f>
        <v/>
      </c>
      <c r="H226" s="1252" t="str">
        <f>IF(基本情報入力シート!R107="","",基本情報入力シート!R107)</f>
        <v/>
      </c>
      <c r="I226" s="1252" t="str">
        <f>IF(基本情報入力シート!W107="","",基本情報入力シート!W107)</f>
        <v/>
      </c>
      <c r="J226" s="1415" t="str">
        <f>IF(基本情報入力シート!X107="","",基本情報入力シート!X107)</f>
        <v/>
      </c>
      <c r="K226" s="1252" t="str">
        <f>IF(基本情報入力シート!Y107="","",基本情報入力シート!Y107)</f>
        <v/>
      </c>
      <c r="L226" s="1421" t="str">
        <f>IF(基本情報入力シート!AB107="","",基本情報入力シート!AB107)</f>
        <v/>
      </c>
      <c r="M226" s="550" t="str">
        <f>IF('別紙様式2-2（４・５月分）'!P173="","",'別紙様式2-2（４・５月分）'!P173)</f>
        <v/>
      </c>
      <c r="N226" s="1391" t="str">
        <f>IF(SUM('別紙様式2-2（４・５月分）'!Q173:Q175)=0,"",SUM('別紙様式2-2（４・５月分）'!Q173:Q175))</f>
        <v/>
      </c>
      <c r="O226" s="1395" t="str">
        <f>IFERROR(VLOOKUP('別紙様式2-2（４・５月分）'!AQ173,【参考】数式用!$AR$5:$AS$22,2,FALSE),"")</f>
        <v/>
      </c>
      <c r="P226" s="1396"/>
      <c r="Q226" s="1397"/>
      <c r="R226" s="1531" t="str">
        <f>IFERROR(VLOOKUP(K226,【参考】数式用!$A$5:$AB$37,MATCH(O226,【参考】数式用!$B$4:$AB$4,0)+1,0),"")</f>
        <v/>
      </c>
      <c r="S226" s="1403" t="s">
        <v>2102</v>
      </c>
      <c r="T226" s="1527" t="str">
        <f>IF('別紙様式2-3（６月以降分）'!T226="","",'別紙様式2-3（６月以降分）'!T226)</f>
        <v/>
      </c>
      <c r="U226" s="1529" t="str">
        <f>IFERROR(VLOOKUP(K226,【参考】数式用!$A$5:$AB$37,MATCH(T226,【参考】数式用!$B$4:$AB$4,0)+1,0),"")</f>
        <v/>
      </c>
      <c r="V226" s="1409" t="s">
        <v>15</v>
      </c>
      <c r="W226" s="1525">
        <f>'別紙様式2-3（６月以降分）'!W226</f>
        <v>6</v>
      </c>
      <c r="X226" s="1349" t="s">
        <v>10</v>
      </c>
      <c r="Y226" s="1525">
        <f>'別紙様式2-3（６月以降分）'!Y226</f>
        <v>6</v>
      </c>
      <c r="Z226" s="1349" t="s">
        <v>38</v>
      </c>
      <c r="AA226" s="1525">
        <f>'別紙様式2-3（６月以降分）'!AA226</f>
        <v>7</v>
      </c>
      <c r="AB226" s="1349" t="s">
        <v>10</v>
      </c>
      <c r="AC226" s="1525">
        <f>'別紙様式2-3（６月以降分）'!AC226</f>
        <v>3</v>
      </c>
      <c r="AD226" s="1349" t="s">
        <v>2020</v>
      </c>
      <c r="AE226" s="1349" t="s">
        <v>20</v>
      </c>
      <c r="AF226" s="1349">
        <f>IF(W226&gt;=1,(AA226*12+AC226)-(W226*12+Y226)+1,"")</f>
        <v>10</v>
      </c>
      <c r="AG226" s="1351" t="s">
        <v>33</v>
      </c>
      <c r="AH226" s="1517" t="str">
        <f>'別紙様式2-3（６月以降分）'!AH226</f>
        <v/>
      </c>
      <c r="AI226" s="1519" t="str">
        <f>'別紙様式2-3（６月以降分）'!AI226</f>
        <v/>
      </c>
      <c r="AJ226" s="1521">
        <f>'別紙様式2-3（６月以降分）'!AJ226</f>
        <v>0</v>
      </c>
      <c r="AK226" s="1523" t="str">
        <f>IF('別紙様式2-3（６月以降分）'!AK226="","",'別紙様式2-3（６月以降分）'!AK226)</f>
        <v/>
      </c>
      <c r="AL226" s="1512">
        <f>'別紙様式2-3（６月以降分）'!AL226</f>
        <v>0</v>
      </c>
      <c r="AM226" s="1514" t="str">
        <f>IF('別紙様式2-3（６月以降分）'!AM226="","",'別紙様式2-3（６月以降分）'!AM226)</f>
        <v/>
      </c>
      <c r="AN226" s="1333" t="str">
        <f>IF('別紙様式2-3（６月以降分）'!AN226="","",'別紙様式2-3（６月以降分）'!AN226)</f>
        <v/>
      </c>
      <c r="AO226" s="1331" t="str">
        <f>IF('別紙様式2-3（６月以降分）'!AO226="","",'別紙様式2-3（６月以降分）'!AO226)</f>
        <v/>
      </c>
      <c r="AP226" s="1333" t="str">
        <f>IF('別紙様式2-3（６月以降分）'!AP226="","",'別紙様式2-3（６月以降分）'!AP226)</f>
        <v/>
      </c>
      <c r="AQ226" s="1481" t="str">
        <f>IF('別紙様式2-3（６月以降分）'!AQ226="","",'別紙様式2-3（６月以降分）'!AQ226)</f>
        <v/>
      </c>
      <c r="AR226" s="1484" t="str">
        <f>IF('別紙様式2-3（６月以降分）'!AR226="","",'別紙様式2-3（６月以降分）'!AR226)</f>
        <v/>
      </c>
      <c r="AS226" s="570" t="str">
        <f t="shared" ref="AS226" si="364">IF(AU228="","",IF(U228&lt;U226,"！加算の要件上は問題ありませんが、令和６年度当初の新加算の加算率と比較して、移行後の加算率が下がる計画になっています。",""))</f>
        <v/>
      </c>
      <c r="AT226" s="577"/>
      <c r="AU226" s="1301"/>
      <c r="AV226" s="555" t="str">
        <f>IF('別紙様式2-2（４・５月分）'!N173="","",'別紙様式2-2（４・５月分）'!N173)</f>
        <v/>
      </c>
      <c r="AW226" s="1305" t="str">
        <f>IF(SUM('別紙様式2-2（４・５月分）'!O173:O175)=0,"",SUM('別紙様式2-2（４・５月分）'!O173:O175))</f>
        <v/>
      </c>
      <c r="AX226" s="1473" t="str">
        <f>IFERROR(VLOOKUP(K226,【参考】数式用!$AH$2:$AI$34,2,FALSE),"")</f>
        <v/>
      </c>
      <c r="AY226" s="493"/>
      <c r="BD226" s="340"/>
      <c r="BE226" s="1303" t="str">
        <f>G226</f>
        <v/>
      </c>
      <c r="BF226" s="1303"/>
      <c r="BG226" s="1303"/>
    </row>
    <row r="227" spans="1:59" ht="15" customHeight="1">
      <c r="A227" s="1267"/>
      <c r="B227" s="1235"/>
      <c r="C227" s="1236"/>
      <c r="D227" s="1236"/>
      <c r="E227" s="1236"/>
      <c r="F227" s="1237"/>
      <c r="G227" s="1252"/>
      <c r="H227" s="1252"/>
      <c r="I227" s="1252"/>
      <c r="J227" s="1415"/>
      <c r="K227" s="1252"/>
      <c r="L227" s="1421"/>
      <c r="M227" s="1371" t="str">
        <f>IF('別紙様式2-2（４・５月分）'!P174="","",'別紙様式2-2（４・５月分）'!P174)</f>
        <v/>
      </c>
      <c r="N227" s="1392"/>
      <c r="O227" s="1398"/>
      <c r="P227" s="1399"/>
      <c r="Q227" s="1400"/>
      <c r="R227" s="1532"/>
      <c r="S227" s="1404"/>
      <c r="T227" s="1528"/>
      <c r="U227" s="1530"/>
      <c r="V227" s="1410"/>
      <c r="W227" s="1526"/>
      <c r="X227" s="1350"/>
      <c r="Y227" s="1526"/>
      <c r="Z227" s="1350"/>
      <c r="AA227" s="1526"/>
      <c r="AB227" s="1350"/>
      <c r="AC227" s="1526"/>
      <c r="AD227" s="1350"/>
      <c r="AE227" s="1350"/>
      <c r="AF227" s="1350"/>
      <c r="AG227" s="1352"/>
      <c r="AH227" s="1518"/>
      <c r="AI227" s="1520"/>
      <c r="AJ227" s="1522"/>
      <c r="AK227" s="1524"/>
      <c r="AL227" s="1513"/>
      <c r="AM227" s="1515"/>
      <c r="AN227" s="1334"/>
      <c r="AO227" s="1516"/>
      <c r="AP227" s="1334"/>
      <c r="AQ227" s="1482"/>
      <c r="AR227" s="1485"/>
      <c r="AS227" s="1483" t="str">
        <f t="shared" ref="AS227" si="365">IF(AU228="","",IF(OR(AA228="",AA228&lt;&gt;7,AC228="",AC228&lt;&gt;3),"！算定期間の終わりが令和７年３月になっていません。年度内の廃止予定等がなければ、算定対象月を令和７年３月にしてください。",""))</f>
        <v/>
      </c>
      <c r="AT227" s="577"/>
      <c r="AU227" s="1303"/>
      <c r="AV227" s="1304" t="str">
        <f>IF('別紙様式2-2（４・５月分）'!N174="","",'別紙様式2-2（４・５月分）'!N174)</f>
        <v/>
      </c>
      <c r="AW227" s="1305"/>
      <c r="AX227" s="1474"/>
      <c r="AY227" s="430"/>
      <c r="BD227" s="340"/>
      <c r="BE227" s="1303" t="str">
        <f>G226</f>
        <v/>
      </c>
      <c r="BF227" s="1303"/>
      <c r="BG227" s="1303"/>
    </row>
    <row r="228" spans="1:59" ht="15" customHeight="1">
      <c r="A228" s="1295"/>
      <c r="B228" s="1235"/>
      <c r="C228" s="1236"/>
      <c r="D228" s="1236"/>
      <c r="E228" s="1236"/>
      <c r="F228" s="1237"/>
      <c r="G228" s="1252"/>
      <c r="H228" s="1252"/>
      <c r="I228" s="1252"/>
      <c r="J228" s="1415"/>
      <c r="K228" s="1252"/>
      <c r="L228" s="1421"/>
      <c r="M228" s="1372"/>
      <c r="N228" s="1393"/>
      <c r="O228" s="1373" t="s">
        <v>2025</v>
      </c>
      <c r="P228" s="1425" t="str">
        <f>IFERROR(VLOOKUP('別紙様式2-2（４・５月分）'!AQ173,【参考】数式用!$AR$5:$AT$22,3,FALSE),"")</f>
        <v/>
      </c>
      <c r="Q228" s="1377" t="s">
        <v>2036</v>
      </c>
      <c r="R228" s="1508" t="str">
        <f>IFERROR(VLOOKUP(K226,【参考】数式用!$A$5:$AB$37,MATCH(P228,【参考】数式用!$B$4:$AB$4,0)+1,0),"")</f>
        <v/>
      </c>
      <c r="S228" s="1381" t="s">
        <v>2109</v>
      </c>
      <c r="T228" s="1510"/>
      <c r="U228" s="1506" t="str">
        <f>IFERROR(VLOOKUP(K226,【参考】数式用!$A$5:$AB$37,MATCH(T228,【参考】数式用!$B$4:$AB$4,0)+1,0),"")</f>
        <v/>
      </c>
      <c r="V228" s="1387" t="s">
        <v>15</v>
      </c>
      <c r="W228" s="1504"/>
      <c r="X228" s="1363" t="s">
        <v>10</v>
      </c>
      <c r="Y228" s="1504"/>
      <c r="Z228" s="1363" t="s">
        <v>38</v>
      </c>
      <c r="AA228" s="1504"/>
      <c r="AB228" s="1363" t="s">
        <v>10</v>
      </c>
      <c r="AC228" s="1504"/>
      <c r="AD228" s="1363" t="s">
        <v>2020</v>
      </c>
      <c r="AE228" s="1363" t="s">
        <v>20</v>
      </c>
      <c r="AF228" s="1363" t="str">
        <f>IF(W228&gt;=1,(AA228*12+AC228)-(W228*12+Y228)+1,"")</f>
        <v/>
      </c>
      <c r="AG228" s="1359" t="s">
        <v>33</v>
      </c>
      <c r="AH228" s="1365" t="str">
        <f t="shared" ref="AH228" si="366">IFERROR(ROUNDDOWN(ROUND(L226*U228,0),0)*AF228,"")</f>
        <v/>
      </c>
      <c r="AI228" s="1498" t="str">
        <f t="shared" ref="AI228" si="367">IFERROR(ROUNDDOWN(ROUND((L226*(U228-AW226)),0),0)*AF228,"")</f>
        <v/>
      </c>
      <c r="AJ228" s="1369" t="str">
        <f>IFERROR(ROUNDDOWN(ROUNDDOWN(ROUND(L226*VLOOKUP(K226,【参考】数式用!$A$5:$AB$27,MATCH("新加算Ⅳ",【参考】数式用!$B$4:$AB$4,0)+1,0),0),0)*AF228*0.5,0),"")</f>
        <v/>
      </c>
      <c r="AK228" s="1500"/>
      <c r="AL228" s="1502" t="str">
        <f>IFERROR(IF('別紙様式2-2（４・５月分）'!P228="ベア加算","", IF(OR(T228="新加算Ⅰ",T228="新加算Ⅱ",T228="新加算Ⅲ",T228="新加算Ⅳ"),ROUNDDOWN(ROUND(L226*VLOOKUP(K226,【参考】数式用!$A$5:$I$27,MATCH("ベア加算",【参考】数式用!$B$4:$I$4,0)+1,0),0),0)*AF228,"")),"")</f>
        <v/>
      </c>
      <c r="AM228" s="1494"/>
      <c r="AN228" s="1475"/>
      <c r="AO228" s="1496"/>
      <c r="AP228" s="1475"/>
      <c r="AQ228" s="1477"/>
      <c r="AR228" s="1479"/>
      <c r="AS228" s="1483"/>
      <c r="AT228" s="451"/>
      <c r="AU228" s="1303" t="str">
        <f>IF(AND(AA226&lt;&gt;7,AC226&lt;&gt;3),"V列に色付け","")</f>
        <v/>
      </c>
      <c r="AV228" s="1304"/>
      <c r="AW228" s="1305"/>
      <c r="AX228" s="574"/>
      <c r="AY228" s="1222" t="str">
        <f>IF(AL228&lt;&gt;"",IF(AM228="○","入力済","未入力"),"")</f>
        <v/>
      </c>
      <c r="AZ228" s="1222"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2" t="str">
        <f>IF(OR(T228="新加算Ⅴ（７）",T228="新加算Ⅴ（９）",T228="新加算Ⅴ（10）",T228="新加算Ⅴ（12）",T228="新加算Ⅴ（13）",T228="新加算Ⅴ（14）"),IF(OR(AO228="○",AO228="令和６年度中に満たす"),"入力済","未入力"),"")</f>
        <v/>
      </c>
      <c r="BB228" s="1222" t="str">
        <f>IF(OR(T228="新加算Ⅰ",T228="新加算Ⅱ",T228="新加算Ⅲ",T228="新加算Ⅴ（１）",T228="新加算Ⅴ（３）",T228="新加算Ⅴ（８）"),IF(OR(AP228="○",AP228="令和６年度中に満たす"),"入力済","未入力"),"")</f>
        <v/>
      </c>
      <c r="BC228" s="1472"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03" t="str">
        <f>IF(OR(T228="新加算Ⅰ",T228="新加算Ⅴ（１）",T228="新加算Ⅴ（２）",T228="新加算Ⅴ（５）",T228="新加算Ⅴ（７）",T228="新加算Ⅴ（10）"),IF(AR228="","未入力","入力済"),"")</f>
        <v/>
      </c>
      <c r="BE228" s="1303" t="str">
        <f>G226</f>
        <v/>
      </c>
      <c r="BF228" s="1303"/>
      <c r="BG228" s="1303"/>
    </row>
    <row r="229" spans="1:59" ht="30" customHeight="1" thickBot="1">
      <c r="A229" s="1268"/>
      <c r="B229" s="1411"/>
      <c r="C229" s="1412"/>
      <c r="D229" s="1412"/>
      <c r="E229" s="1412"/>
      <c r="F229" s="1413"/>
      <c r="G229" s="1253"/>
      <c r="H229" s="1253"/>
      <c r="I229" s="1253"/>
      <c r="J229" s="1416"/>
      <c r="K229" s="1253"/>
      <c r="L229" s="1422"/>
      <c r="M229" s="553" t="str">
        <f>IF('別紙様式2-2（４・５月分）'!P175="","",'別紙様式2-2（４・５月分）'!P175)</f>
        <v/>
      </c>
      <c r="N229" s="1394"/>
      <c r="O229" s="1374"/>
      <c r="P229" s="1426"/>
      <c r="Q229" s="1378"/>
      <c r="R229" s="1509"/>
      <c r="S229" s="1382"/>
      <c r="T229" s="1511"/>
      <c r="U229" s="1507"/>
      <c r="V229" s="1388"/>
      <c r="W229" s="1505"/>
      <c r="X229" s="1364"/>
      <c r="Y229" s="1505"/>
      <c r="Z229" s="1364"/>
      <c r="AA229" s="1505"/>
      <c r="AB229" s="1364"/>
      <c r="AC229" s="1505"/>
      <c r="AD229" s="1364"/>
      <c r="AE229" s="1364"/>
      <c r="AF229" s="1364"/>
      <c r="AG229" s="1360"/>
      <c r="AH229" s="1366"/>
      <c r="AI229" s="1499"/>
      <c r="AJ229" s="1370"/>
      <c r="AK229" s="1501"/>
      <c r="AL229" s="1503"/>
      <c r="AM229" s="1495"/>
      <c r="AN229" s="1476"/>
      <c r="AO229" s="1497"/>
      <c r="AP229" s="1476"/>
      <c r="AQ229" s="1478"/>
      <c r="AR229" s="1480"/>
      <c r="AS229" s="575"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1"/>
      <c r="AU229" s="1303"/>
      <c r="AV229" s="555" t="str">
        <f>IF('別紙様式2-2（４・５月分）'!N175="","",'別紙様式2-2（４・５月分）'!N175)</f>
        <v/>
      </c>
      <c r="AW229" s="1305"/>
      <c r="AX229" s="576"/>
      <c r="AY229" s="1222" t="str">
        <f>IF(OR(T229="新加算Ⅰ",T229="新加算Ⅱ",T229="新加算Ⅲ",T229="新加算Ⅳ",T229="新加算Ⅴ（１）",T229="新加算Ⅴ（２）",T229="新加算Ⅴ（３）",T229="新加算ⅠⅤ（４）",T229="新加算Ⅴ（５）",T229="新加算Ⅴ（６）",T229="新加算Ⅴ（８）",T229="新加算Ⅴ（11）"),IF(AI229="○","","未入力"),"")</f>
        <v/>
      </c>
      <c r="AZ229" s="1222" t="str">
        <f>IF(OR(U229="新加算Ⅰ",U229="新加算Ⅱ",U229="新加算Ⅲ",U229="新加算Ⅳ",U229="新加算Ⅴ（１）",U229="新加算Ⅴ（２）",U229="新加算Ⅴ（３）",U229="新加算ⅠⅤ（４）",U229="新加算Ⅴ（５）",U229="新加算Ⅴ（６）",U229="新加算Ⅴ（８）",U229="新加算Ⅴ（11）"),IF(AJ229="○","","未入力"),"")</f>
        <v/>
      </c>
      <c r="BA229" s="1222" t="str">
        <f>IF(OR(U229="新加算Ⅴ（７）",U229="新加算Ⅴ（９）",U229="新加算Ⅴ（10）",U229="新加算Ⅴ（12）",U229="新加算Ⅴ（13）",U229="新加算Ⅴ（14）"),IF(AK229="○","","未入力"),"")</f>
        <v/>
      </c>
      <c r="BB229" s="1222" t="str">
        <f>IF(OR(U229="新加算Ⅰ",U229="新加算Ⅱ",U229="新加算Ⅲ",U229="新加算Ⅴ（１）",U229="新加算Ⅴ（３）",U229="新加算Ⅴ（８）"),IF(AL229="○","","未入力"),"")</f>
        <v/>
      </c>
      <c r="BC229" s="1472"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03" t="str">
        <f>IF(AND(T229&lt;&gt;"（参考）令和７年度の移行予定",OR(U229="新加算Ⅰ",U229="新加算Ⅴ（１）",U229="新加算Ⅴ（２）",U229="新加算Ⅴ（５）",U229="新加算Ⅴ（７）",U229="新加算Ⅴ（10）")),IF(AN229="","未入力",IF(AN229="いずれも取得していない","要件を満たさない","")),"")</f>
        <v/>
      </c>
      <c r="BE229" s="1303" t="str">
        <f>G226</f>
        <v/>
      </c>
      <c r="BF229" s="1303"/>
      <c r="BG229" s="1303"/>
    </row>
    <row r="230" spans="1:59" ht="30" customHeight="1">
      <c r="A230" s="1266">
        <v>55</v>
      </c>
      <c r="B230" s="1232" t="str">
        <f>IF(基本情報入力シート!C108="","",基本情報入力シート!C108)</f>
        <v/>
      </c>
      <c r="C230" s="1233"/>
      <c r="D230" s="1233"/>
      <c r="E230" s="1233"/>
      <c r="F230" s="1234"/>
      <c r="G230" s="1251" t="str">
        <f>IF(基本情報入力シート!M108="","",基本情報入力シート!M108)</f>
        <v/>
      </c>
      <c r="H230" s="1251" t="str">
        <f>IF(基本情報入力シート!R108="","",基本情報入力シート!R108)</f>
        <v/>
      </c>
      <c r="I230" s="1251" t="str">
        <f>IF(基本情報入力シート!W108="","",基本情報入力シート!W108)</f>
        <v/>
      </c>
      <c r="J230" s="1414" t="str">
        <f>IF(基本情報入力シート!X108="","",基本情報入力シート!X108)</f>
        <v/>
      </c>
      <c r="K230" s="1251" t="str">
        <f>IF(基本情報入力シート!Y108="","",基本情報入力シート!Y108)</f>
        <v/>
      </c>
      <c r="L230" s="1427" t="str">
        <f>IF(基本情報入力シート!AB108="","",基本情報入力シート!AB108)</f>
        <v/>
      </c>
      <c r="M230" s="550" t="str">
        <f>IF('別紙様式2-2（４・５月分）'!P176="","",'別紙様式2-2（４・５月分）'!P176)</f>
        <v/>
      </c>
      <c r="N230" s="1391" t="str">
        <f>IF(SUM('別紙様式2-2（４・５月分）'!Q176:Q178)=0,"",SUM('別紙様式2-2（４・５月分）'!Q176:Q178))</f>
        <v/>
      </c>
      <c r="O230" s="1395" t="str">
        <f>IFERROR(VLOOKUP('別紙様式2-2（４・５月分）'!AQ176,【参考】数式用!$AR$5:$AS$22,2,FALSE),"")</f>
        <v/>
      </c>
      <c r="P230" s="1396"/>
      <c r="Q230" s="1397"/>
      <c r="R230" s="1531" t="str">
        <f>IFERROR(VLOOKUP(K230,【参考】数式用!$A$5:$AB$37,MATCH(O230,【参考】数式用!$B$4:$AB$4,0)+1,0),"")</f>
        <v/>
      </c>
      <c r="S230" s="1403" t="s">
        <v>2102</v>
      </c>
      <c r="T230" s="1527" t="str">
        <f>IF('別紙様式2-3（６月以降分）'!T230="","",'別紙様式2-3（６月以降分）'!T230)</f>
        <v/>
      </c>
      <c r="U230" s="1529" t="str">
        <f>IFERROR(VLOOKUP(K230,【参考】数式用!$A$5:$AB$37,MATCH(T230,【参考】数式用!$B$4:$AB$4,0)+1,0),"")</f>
        <v/>
      </c>
      <c r="V230" s="1409" t="s">
        <v>15</v>
      </c>
      <c r="W230" s="1525">
        <f>'別紙様式2-3（６月以降分）'!W230</f>
        <v>6</v>
      </c>
      <c r="X230" s="1349" t="s">
        <v>10</v>
      </c>
      <c r="Y230" s="1525">
        <f>'別紙様式2-3（６月以降分）'!Y230</f>
        <v>6</v>
      </c>
      <c r="Z230" s="1349" t="s">
        <v>38</v>
      </c>
      <c r="AA230" s="1525">
        <f>'別紙様式2-3（６月以降分）'!AA230</f>
        <v>7</v>
      </c>
      <c r="AB230" s="1349" t="s">
        <v>10</v>
      </c>
      <c r="AC230" s="1525">
        <f>'別紙様式2-3（６月以降分）'!AC230</f>
        <v>3</v>
      </c>
      <c r="AD230" s="1349" t="s">
        <v>2020</v>
      </c>
      <c r="AE230" s="1349" t="s">
        <v>20</v>
      </c>
      <c r="AF230" s="1349">
        <f>IF(W230&gt;=1,(AA230*12+AC230)-(W230*12+Y230)+1,"")</f>
        <v>10</v>
      </c>
      <c r="AG230" s="1351" t="s">
        <v>33</v>
      </c>
      <c r="AH230" s="1517" t="str">
        <f>'別紙様式2-3（６月以降分）'!AH230</f>
        <v/>
      </c>
      <c r="AI230" s="1519" t="str">
        <f>'別紙様式2-3（６月以降分）'!AI230</f>
        <v/>
      </c>
      <c r="AJ230" s="1521">
        <f>'別紙様式2-3（６月以降分）'!AJ230</f>
        <v>0</v>
      </c>
      <c r="AK230" s="1523" t="str">
        <f>IF('別紙様式2-3（６月以降分）'!AK230="","",'別紙様式2-3（６月以降分）'!AK230)</f>
        <v/>
      </c>
      <c r="AL230" s="1512">
        <f>'別紙様式2-3（６月以降分）'!AL230</f>
        <v>0</v>
      </c>
      <c r="AM230" s="1514" t="str">
        <f>IF('別紙様式2-3（６月以降分）'!AM230="","",'別紙様式2-3（６月以降分）'!AM230)</f>
        <v/>
      </c>
      <c r="AN230" s="1333" t="str">
        <f>IF('別紙様式2-3（６月以降分）'!AN230="","",'別紙様式2-3（６月以降分）'!AN230)</f>
        <v/>
      </c>
      <c r="AO230" s="1331" t="str">
        <f>IF('別紙様式2-3（６月以降分）'!AO230="","",'別紙様式2-3（６月以降分）'!AO230)</f>
        <v/>
      </c>
      <c r="AP230" s="1333" t="str">
        <f>IF('別紙様式2-3（６月以降分）'!AP230="","",'別紙様式2-3（６月以降分）'!AP230)</f>
        <v/>
      </c>
      <c r="AQ230" s="1481" t="str">
        <f>IF('別紙様式2-3（６月以降分）'!AQ230="","",'別紙様式2-3（６月以降分）'!AQ230)</f>
        <v/>
      </c>
      <c r="AR230" s="1484" t="str">
        <f>IF('別紙様式2-3（６月以降分）'!AR230="","",'別紙様式2-3（６月以降分）'!AR230)</f>
        <v/>
      </c>
      <c r="AS230" s="570" t="str">
        <f t="shared" ref="AS230" si="371">IF(AU232="","",IF(U232&lt;U230,"！加算の要件上は問題ありませんが、令和６年度当初の新加算の加算率と比較して、移行後の加算率が下がる計画になっています。",""))</f>
        <v/>
      </c>
      <c r="AT230" s="577"/>
      <c r="AU230" s="1301"/>
      <c r="AV230" s="555" t="str">
        <f>IF('別紙様式2-2（４・５月分）'!N176="","",'別紙様式2-2（４・５月分）'!N176)</f>
        <v/>
      </c>
      <c r="AW230" s="1305" t="str">
        <f>IF(SUM('別紙様式2-2（４・５月分）'!O176:O178)=0,"",SUM('別紙様式2-2（４・５月分）'!O176:O178))</f>
        <v/>
      </c>
      <c r="AX230" s="1473" t="str">
        <f>IFERROR(VLOOKUP(K230,【参考】数式用!$AH$2:$AI$34,2,FALSE),"")</f>
        <v/>
      </c>
      <c r="AY230" s="493"/>
      <c r="BD230" s="340"/>
      <c r="BE230" s="1303" t="str">
        <f>G230</f>
        <v/>
      </c>
      <c r="BF230" s="1303"/>
      <c r="BG230" s="1303"/>
    </row>
    <row r="231" spans="1:59" ht="15" customHeight="1">
      <c r="A231" s="1267"/>
      <c r="B231" s="1235"/>
      <c r="C231" s="1236"/>
      <c r="D231" s="1236"/>
      <c r="E231" s="1236"/>
      <c r="F231" s="1237"/>
      <c r="G231" s="1252"/>
      <c r="H231" s="1252"/>
      <c r="I231" s="1252"/>
      <c r="J231" s="1415"/>
      <c r="K231" s="1252"/>
      <c r="L231" s="1421"/>
      <c r="M231" s="1371" t="str">
        <f>IF('別紙様式2-2（４・５月分）'!P177="","",'別紙様式2-2（４・５月分）'!P177)</f>
        <v/>
      </c>
      <c r="N231" s="1392"/>
      <c r="O231" s="1398"/>
      <c r="P231" s="1399"/>
      <c r="Q231" s="1400"/>
      <c r="R231" s="1532"/>
      <c r="S231" s="1404"/>
      <c r="T231" s="1528"/>
      <c r="U231" s="1530"/>
      <c r="V231" s="1410"/>
      <c r="W231" s="1526"/>
      <c r="X231" s="1350"/>
      <c r="Y231" s="1526"/>
      <c r="Z231" s="1350"/>
      <c r="AA231" s="1526"/>
      <c r="AB231" s="1350"/>
      <c r="AC231" s="1526"/>
      <c r="AD231" s="1350"/>
      <c r="AE231" s="1350"/>
      <c r="AF231" s="1350"/>
      <c r="AG231" s="1352"/>
      <c r="AH231" s="1518"/>
      <c r="AI231" s="1520"/>
      <c r="AJ231" s="1522"/>
      <c r="AK231" s="1524"/>
      <c r="AL231" s="1513"/>
      <c r="AM231" s="1515"/>
      <c r="AN231" s="1334"/>
      <c r="AO231" s="1516"/>
      <c r="AP231" s="1334"/>
      <c r="AQ231" s="1482"/>
      <c r="AR231" s="1485"/>
      <c r="AS231" s="1483" t="str">
        <f t="shared" ref="AS231" si="372">IF(AU232="","",IF(OR(AA232="",AA232&lt;&gt;7,AC232="",AC232&lt;&gt;3),"！算定期間の終わりが令和７年３月になっていません。年度内の廃止予定等がなければ、算定対象月を令和７年３月にしてください。",""))</f>
        <v/>
      </c>
      <c r="AT231" s="577"/>
      <c r="AU231" s="1303"/>
      <c r="AV231" s="1304" t="str">
        <f>IF('別紙様式2-2（４・５月分）'!N177="","",'別紙様式2-2（４・５月分）'!N177)</f>
        <v/>
      </c>
      <c r="AW231" s="1305"/>
      <c r="AX231" s="1474"/>
      <c r="AY231" s="430"/>
      <c r="BD231" s="340"/>
      <c r="BE231" s="1303" t="str">
        <f>G230</f>
        <v/>
      </c>
      <c r="BF231" s="1303"/>
      <c r="BG231" s="1303"/>
    </row>
    <row r="232" spans="1:59" ht="15" customHeight="1">
      <c r="A232" s="1295"/>
      <c r="B232" s="1235"/>
      <c r="C232" s="1236"/>
      <c r="D232" s="1236"/>
      <c r="E232" s="1236"/>
      <c r="F232" s="1237"/>
      <c r="G232" s="1252"/>
      <c r="H232" s="1252"/>
      <c r="I232" s="1252"/>
      <c r="J232" s="1415"/>
      <c r="K232" s="1252"/>
      <c r="L232" s="1421"/>
      <c r="M232" s="1372"/>
      <c r="N232" s="1393"/>
      <c r="O232" s="1373" t="s">
        <v>2025</v>
      </c>
      <c r="P232" s="1425" t="str">
        <f>IFERROR(VLOOKUP('別紙様式2-2（４・５月分）'!AQ176,【参考】数式用!$AR$5:$AT$22,3,FALSE),"")</f>
        <v/>
      </c>
      <c r="Q232" s="1377" t="s">
        <v>2036</v>
      </c>
      <c r="R232" s="1508" t="str">
        <f>IFERROR(VLOOKUP(K230,【参考】数式用!$A$5:$AB$37,MATCH(P232,【参考】数式用!$B$4:$AB$4,0)+1,0),"")</f>
        <v/>
      </c>
      <c r="S232" s="1381" t="s">
        <v>2109</v>
      </c>
      <c r="T232" s="1510"/>
      <c r="U232" s="1506" t="str">
        <f>IFERROR(VLOOKUP(K230,【参考】数式用!$A$5:$AB$37,MATCH(T232,【参考】数式用!$B$4:$AB$4,0)+1,0),"")</f>
        <v/>
      </c>
      <c r="V232" s="1387" t="s">
        <v>15</v>
      </c>
      <c r="W232" s="1504"/>
      <c r="X232" s="1363" t="s">
        <v>10</v>
      </c>
      <c r="Y232" s="1504"/>
      <c r="Z232" s="1363" t="s">
        <v>38</v>
      </c>
      <c r="AA232" s="1504"/>
      <c r="AB232" s="1363" t="s">
        <v>10</v>
      </c>
      <c r="AC232" s="1504"/>
      <c r="AD232" s="1363" t="s">
        <v>2020</v>
      </c>
      <c r="AE232" s="1363" t="s">
        <v>20</v>
      </c>
      <c r="AF232" s="1363" t="str">
        <f>IF(W232&gt;=1,(AA232*12+AC232)-(W232*12+Y232)+1,"")</f>
        <v/>
      </c>
      <c r="AG232" s="1359" t="s">
        <v>33</v>
      </c>
      <c r="AH232" s="1365" t="str">
        <f t="shared" ref="AH232" si="373">IFERROR(ROUNDDOWN(ROUND(L230*U232,0),0)*AF232,"")</f>
        <v/>
      </c>
      <c r="AI232" s="1498" t="str">
        <f t="shared" ref="AI232" si="374">IFERROR(ROUNDDOWN(ROUND((L230*(U232-AW230)),0),0)*AF232,"")</f>
        <v/>
      </c>
      <c r="AJ232" s="1369" t="str">
        <f>IFERROR(ROUNDDOWN(ROUNDDOWN(ROUND(L230*VLOOKUP(K230,【参考】数式用!$A$5:$AB$27,MATCH("新加算Ⅳ",【参考】数式用!$B$4:$AB$4,0)+1,0),0),0)*AF232*0.5,0),"")</f>
        <v/>
      </c>
      <c r="AK232" s="1500"/>
      <c r="AL232" s="1502" t="str">
        <f>IFERROR(IF('別紙様式2-2（４・５月分）'!P232="ベア加算","", IF(OR(T232="新加算Ⅰ",T232="新加算Ⅱ",T232="新加算Ⅲ",T232="新加算Ⅳ"),ROUNDDOWN(ROUND(L230*VLOOKUP(K230,【参考】数式用!$A$5:$I$27,MATCH("ベア加算",【参考】数式用!$B$4:$I$4,0)+1,0),0),0)*AF232,"")),"")</f>
        <v/>
      </c>
      <c r="AM232" s="1494"/>
      <c r="AN232" s="1475"/>
      <c r="AO232" s="1496"/>
      <c r="AP232" s="1475"/>
      <c r="AQ232" s="1477"/>
      <c r="AR232" s="1479"/>
      <c r="AS232" s="1483"/>
      <c r="AT232" s="451"/>
      <c r="AU232" s="1303" t="str">
        <f>IF(AND(AA230&lt;&gt;7,AC230&lt;&gt;3),"V列に色付け","")</f>
        <v/>
      </c>
      <c r="AV232" s="1304"/>
      <c r="AW232" s="1305"/>
      <c r="AX232" s="574"/>
      <c r="AY232" s="1222" t="str">
        <f>IF(AL232&lt;&gt;"",IF(AM232="○","入力済","未入力"),"")</f>
        <v/>
      </c>
      <c r="AZ232" s="1222"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2" t="str">
        <f>IF(OR(T232="新加算Ⅴ（７）",T232="新加算Ⅴ（９）",T232="新加算Ⅴ（10）",T232="新加算Ⅴ（12）",T232="新加算Ⅴ（13）",T232="新加算Ⅴ（14）"),IF(OR(AO232="○",AO232="令和６年度中に満たす"),"入力済","未入力"),"")</f>
        <v/>
      </c>
      <c r="BB232" s="1222" t="str">
        <f>IF(OR(T232="新加算Ⅰ",T232="新加算Ⅱ",T232="新加算Ⅲ",T232="新加算Ⅴ（１）",T232="新加算Ⅴ（３）",T232="新加算Ⅴ（８）"),IF(OR(AP232="○",AP232="令和６年度中に満たす"),"入力済","未入力"),"")</f>
        <v/>
      </c>
      <c r="BC232" s="1472"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03" t="str">
        <f>IF(OR(T232="新加算Ⅰ",T232="新加算Ⅴ（１）",T232="新加算Ⅴ（２）",T232="新加算Ⅴ（５）",T232="新加算Ⅴ（７）",T232="新加算Ⅴ（10）"),IF(AR232="","未入力","入力済"),"")</f>
        <v/>
      </c>
      <c r="BE232" s="1303" t="str">
        <f>G230</f>
        <v/>
      </c>
      <c r="BF232" s="1303"/>
      <c r="BG232" s="1303"/>
    </row>
    <row r="233" spans="1:59" ht="30" customHeight="1" thickBot="1">
      <c r="A233" s="1268"/>
      <c r="B233" s="1411"/>
      <c r="C233" s="1412"/>
      <c r="D233" s="1412"/>
      <c r="E233" s="1412"/>
      <c r="F233" s="1413"/>
      <c r="G233" s="1253"/>
      <c r="H233" s="1253"/>
      <c r="I233" s="1253"/>
      <c r="J233" s="1416"/>
      <c r="K233" s="1253"/>
      <c r="L233" s="1422"/>
      <c r="M233" s="553" t="str">
        <f>IF('別紙様式2-2（４・５月分）'!P178="","",'別紙様式2-2（４・５月分）'!P178)</f>
        <v/>
      </c>
      <c r="N233" s="1394"/>
      <c r="O233" s="1374"/>
      <c r="P233" s="1426"/>
      <c r="Q233" s="1378"/>
      <c r="R233" s="1509"/>
      <c r="S233" s="1382"/>
      <c r="T233" s="1511"/>
      <c r="U233" s="1507"/>
      <c r="V233" s="1388"/>
      <c r="W233" s="1505"/>
      <c r="X233" s="1364"/>
      <c r="Y233" s="1505"/>
      <c r="Z233" s="1364"/>
      <c r="AA233" s="1505"/>
      <c r="AB233" s="1364"/>
      <c r="AC233" s="1505"/>
      <c r="AD233" s="1364"/>
      <c r="AE233" s="1364"/>
      <c r="AF233" s="1364"/>
      <c r="AG233" s="1360"/>
      <c r="AH233" s="1366"/>
      <c r="AI233" s="1499"/>
      <c r="AJ233" s="1370"/>
      <c r="AK233" s="1501"/>
      <c r="AL233" s="1503"/>
      <c r="AM233" s="1495"/>
      <c r="AN233" s="1476"/>
      <c r="AO233" s="1497"/>
      <c r="AP233" s="1476"/>
      <c r="AQ233" s="1478"/>
      <c r="AR233" s="1480"/>
      <c r="AS233" s="575"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1"/>
      <c r="AU233" s="1303"/>
      <c r="AV233" s="555" t="str">
        <f>IF('別紙様式2-2（４・５月分）'!N178="","",'別紙様式2-2（４・５月分）'!N178)</f>
        <v/>
      </c>
      <c r="AW233" s="1305"/>
      <c r="AX233" s="576"/>
      <c r="AY233" s="1222" t="str">
        <f>IF(OR(T233="新加算Ⅰ",T233="新加算Ⅱ",T233="新加算Ⅲ",T233="新加算Ⅳ",T233="新加算Ⅴ（１）",T233="新加算Ⅴ（２）",T233="新加算Ⅴ（３）",T233="新加算ⅠⅤ（４）",T233="新加算Ⅴ（５）",T233="新加算Ⅴ（６）",T233="新加算Ⅴ（８）",T233="新加算Ⅴ（11）"),IF(AI233="○","","未入力"),"")</f>
        <v/>
      </c>
      <c r="AZ233" s="1222" t="str">
        <f>IF(OR(U233="新加算Ⅰ",U233="新加算Ⅱ",U233="新加算Ⅲ",U233="新加算Ⅳ",U233="新加算Ⅴ（１）",U233="新加算Ⅴ（２）",U233="新加算Ⅴ（３）",U233="新加算ⅠⅤ（４）",U233="新加算Ⅴ（５）",U233="新加算Ⅴ（６）",U233="新加算Ⅴ（８）",U233="新加算Ⅴ（11）"),IF(AJ233="○","","未入力"),"")</f>
        <v/>
      </c>
      <c r="BA233" s="1222" t="str">
        <f>IF(OR(U233="新加算Ⅴ（７）",U233="新加算Ⅴ（９）",U233="新加算Ⅴ（10）",U233="新加算Ⅴ（12）",U233="新加算Ⅴ（13）",U233="新加算Ⅴ（14）"),IF(AK233="○","","未入力"),"")</f>
        <v/>
      </c>
      <c r="BB233" s="1222" t="str">
        <f>IF(OR(U233="新加算Ⅰ",U233="新加算Ⅱ",U233="新加算Ⅲ",U233="新加算Ⅴ（１）",U233="新加算Ⅴ（３）",U233="新加算Ⅴ（８）"),IF(AL233="○","","未入力"),"")</f>
        <v/>
      </c>
      <c r="BC233" s="1472"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03" t="str">
        <f>IF(AND(T233&lt;&gt;"（参考）令和７年度の移行予定",OR(U233="新加算Ⅰ",U233="新加算Ⅴ（１）",U233="新加算Ⅴ（２）",U233="新加算Ⅴ（５）",U233="新加算Ⅴ（７）",U233="新加算Ⅴ（10）")),IF(AN233="","未入力",IF(AN233="いずれも取得していない","要件を満たさない","")),"")</f>
        <v/>
      </c>
      <c r="BE233" s="1303" t="str">
        <f>G230</f>
        <v/>
      </c>
      <c r="BF233" s="1303"/>
      <c r="BG233" s="1303"/>
    </row>
    <row r="234" spans="1:59" ht="30" customHeight="1">
      <c r="A234" s="1293">
        <v>56</v>
      </c>
      <c r="B234" s="1235" t="str">
        <f>IF(基本情報入力シート!C109="","",基本情報入力シート!C109)</f>
        <v/>
      </c>
      <c r="C234" s="1236"/>
      <c r="D234" s="1236"/>
      <c r="E234" s="1236"/>
      <c r="F234" s="1237"/>
      <c r="G234" s="1252" t="str">
        <f>IF(基本情報入力シート!M109="","",基本情報入力シート!M109)</f>
        <v/>
      </c>
      <c r="H234" s="1252" t="str">
        <f>IF(基本情報入力シート!R109="","",基本情報入力シート!R109)</f>
        <v/>
      </c>
      <c r="I234" s="1252" t="str">
        <f>IF(基本情報入力シート!W109="","",基本情報入力シート!W109)</f>
        <v/>
      </c>
      <c r="J234" s="1415" t="str">
        <f>IF(基本情報入力シート!X109="","",基本情報入力シート!X109)</f>
        <v/>
      </c>
      <c r="K234" s="1252" t="str">
        <f>IF(基本情報入力シート!Y109="","",基本情報入力シート!Y109)</f>
        <v/>
      </c>
      <c r="L234" s="1421" t="str">
        <f>IF(基本情報入力シート!AB109="","",基本情報入力シート!AB109)</f>
        <v/>
      </c>
      <c r="M234" s="550" t="str">
        <f>IF('別紙様式2-2（４・５月分）'!P179="","",'別紙様式2-2（４・５月分）'!P179)</f>
        <v/>
      </c>
      <c r="N234" s="1391" t="str">
        <f>IF(SUM('別紙様式2-2（４・５月分）'!Q179:Q181)=0,"",SUM('別紙様式2-2（４・５月分）'!Q179:Q181))</f>
        <v/>
      </c>
      <c r="O234" s="1395" t="str">
        <f>IFERROR(VLOOKUP('別紙様式2-2（４・５月分）'!AQ179,【参考】数式用!$AR$5:$AS$22,2,FALSE),"")</f>
        <v/>
      </c>
      <c r="P234" s="1396"/>
      <c r="Q234" s="1397"/>
      <c r="R234" s="1531" t="str">
        <f>IFERROR(VLOOKUP(K234,【参考】数式用!$A$5:$AB$37,MATCH(O234,【参考】数式用!$B$4:$AB$4,0)+1,0),"")</f>
        <v/>
      </c>
      <c r="S234" s="1403" t="s">
        <v>2102</v>
      </c>
      <c r="T234" s="1527" t="str">
        <f>IF('別紙様式2-3（６月以降分）'!T234="","",'別紙様式2-3（６月以降分）'!T234)</f>
        <v/>
      </c>
      <c r="U234" s="1529" t="str">
        <f>IFERROR(VLOOKUP(K234,【参考】数式用!$A$5:$AB$37,MATCH(T234,【参考】数式用!$B$4:$AB$4,0)+1,0),"")</f>
        <v/>
      </c>
      <c r="V234" s="1409" t="s">
        <v>15</v>
      </c>
      <c r="W234" s="1525">
        <f>'別紙様式2-3（６月以降分）'!W234</f>
        <v>6</v>
      </c>
      <c r="X234" s="1349" t="s">
        <v>10</v>
      </c>
      <c r="Y234" s="1525">
        <f>'別紙様式2-3（６月以降分）'!Y234</f>
        <v>6</v>
      </c>
      <c r="Z234" s="1349" t="s">
        <v>38</v>
      </c>
      <c r="AA234" s="1525">
        <f>'別紙様式2-3（６月以降分）'!AA234</f>
        <v>7</v>
      </c>
      <c r="AB234" s="1349" t="s">
        <v>10</v>
      </c>
      <c r="AC234" s="1525">
        <f>'別紙様式2-3（６月以降分）'!AC234</f>
        <v>3</v>
      </c>
      <c r="AD234" s="1349" t="s">
        <v>2020</v>
      </c>
      <c r="AE234" s="1349" t="s">
        <v>20</v>
      </c>
      <c r="AF234" s="1349">
        <f>IF(W234&gt;=1,(AA234*12+AC234)-(W234*12+Y234)+1,"")</f>
        <v>10</v>
      </c>
      <c r="AG234" s="1351" t="s">
        <v>33</v>
      </c>
      <c r="AH234" s="1517" t="str">
        <f>'別紙様式2-3（６月以降分）'!AH234</f>
        <v/>
      </c>
      <c r="AI234" s="1519" t="str">
        <f>'別紙様式2-3（６月以降分）'!AI234</f>
        <v/>
      </c>
      <c r="AJ234" s="1521">
        <f>'別紙様式2-3（６月以降分）'!AJ234</f>
        <v>0</v>
      </c>
      <c r="AK234" s="1523" t="str">
        <f>IF('別紙様式2-3（６月以降分）'!AK234="","",'別紙様式2-3（６月以降分）'!AK234)</f>
        <v/>
      </c>
      <c r="AL234" s="1512">
        <f>'別紙様式2-3（６月以降分）'!AL234</f>
        <v>0</v>
      </c>
      <c r="AM234" s="1514" t="str">
        <f>IF('別紙様式2-3（６月以降分）'!AM234="","",'別紙様式2-3（６月以降分）'!AM234)</f>
        <v/>
      </c>
      <c r="AN234" s="1333" t="str">
        <f>IF('別紙様式2-3（６月以降分）'!AN234="","",'別紙様式2-3（６月以降分）'!AN234)</f>
        <v/>
      </c>
      <c r="AO234" s="1331" t="str">
        <f>IF('別紙様式2-3（６月以降分）'!AO234="","",'別紙様式2-3（６月以降分）'!AO234)</f>
        <v/>
      </c>
      <c r="AP234" s="1333" t="str">
        <f>IF('別紙様式2-3（６月以降分）'!AP234="","",'別紙様式2-3（６月以降分）'!AP234)</f>
        <v/>
      </c>
      <c r="AQ234" s="1481" t="str">
        <f>IF('別紙様式2-3（６月以降分）'!AQ234="","",'別紙様式2-3（６月以降分）'!AQ234)</f>
        <v/>
      </c>
      <c r="AR234" s="1484" t="str">
        <f>IF('別紙様式2-3（６月以降分）'!AR234="","",'別紙様式2-3（６月以降分）'!AR234)</f>
        <v/>
      </c>
      <c r="AS234" s="570" t="str">
        <f t="shared" ref="AS234" si="378">IF(AU236="","",IF(U236&lt;U234,"！加算の要件上は問題ありませんが、令和６年度当初の新加算の加算率と比較して、移行後の加算率が下がる計画になっています。",""))</f>
        <v/>
      </c>
      <c r="AT234" s="577"/>
      <c r="AU234" s="1301"/>
      <c r="AV234" s="555" t="str">
        <f>IF('別紙様式2-2（４・５月分）'!N179="","",'別紙様式2-2（４・５月分）'!N179)</f>
        <v/>
      </c>
      <c r="AW234" s="1305" t="str">
        <f>IF(SUM('別紙様式2-2（４・５月分）'!O179:O181)=0,"",SUM('別紙様式2-2（４・５月分）'!O179:O181))</f>
        <v/>
      </c>
      <c r="AX234" s="1473" t="str">
        <f>IFERROR(VLOOKUP(K234,【参考】数式用!$AH$2:$AI$34,2,FALSE),"")</f>
        <v/>
      </c>
      <c r="AY234" s="493"/>
      <c r="BD234" s="340"/>
      <c r="BE234" s="1303" t="str">
        <f>G234</f>
        <v/>
      </c>
      <c r="BF234" s="1303"/>
      <c r="BG234" s="1303"/>
    </row>
    <row r="235" spans="1:59" ht="15" customHeight="1">
      <c r="A235" s="1267"/>
      <c r="B235" s="1235"/>
      <c r="C235" s="1236"/>
      <c r="D235" s="1236"/>
      <c r="E235" s="1236"/>
      <c r="F235" s="1237"/>
      <c r="G235" s="1252"/>
      <c r="H235" s="1252"/>
      <c r="I235" s="1252"/>
      <c r="J235" s="1415"/>
      <c r="K235" s="1252"/>
      <c r="L235" s="1421"/>
      <c r="M235" s="1371" t="str">
        <f>IF('別紙様式2-2（４・５月分）'!P180="","",'別紙様式2-2（４・５月分）'!P180)</f>
        <v/>
      </c>
      <c r="N235" s="1392"/>
      <c r="O235" s="1398"/>
      <c r="P235" s="1399"/>
      <c r="Q235" s="1400"/>
      <c r="R235" s="1532"/>
      <c r="S235" s="1404"/>
      <c r="T235" s="1528"/>
      <c r="U235" s="1530"/>
      <c r="V235" s="1410"/>
      <c r="W235" s="1526"/>
      <c r="X235" s="1350"/>
      <c r="Y235" s="1526"/>
      <c r="Z235" s="1350"/>
      <c r="AA235" s="1526"/>
      <c r="AB235" s="1350"/>
      <c r="AC235" s="1526"/>
      <c r="AD235" s="1350"/>
      <c r="AE235" s="1350"/>
      <c r="AF235" s="1350"/>
      <c r="AG235" s="1352"/>
      <c r="AH235" s="1518"/>
      <c r="AI235" s="1520"/>
      <c r="AJ235" s="1522"/>
      <c r="AK235" s="1524"/>
      <c r="AL235" s="1513"/>
      <c r="AM235" s="1515"/>
      <c r="AN235" s="1334"/>
      <c r="AO235" s="1516"/>
      <c r="AP235" s="1334"/>
      <c r="AQ235" s="1482"/>
      <c r="AR235" s="1485"/>
      <c r="AS235" s="1483" t="str">
        <f t="shared" ref="AS235" si="379">IF(AU236="","",IF(OR(AA236="",AA236&lt;&gt;7,AC236="",AC236&lt;&gt;3),"！算定期間の終わりが令和７年３月になっていません。年度内の廃止予定等がなければ、算定対象月を令和７年３月にしてください。",""))</f>
        <v/>
      </c>
      <c r="AT235" s="577"/>
      <c r="AU235" s="1303"/>
      <c r="AV235" s="1304" t="str">
        <f>IF('別紙様式2-2（４・５月分）'!N180="","",'別紙様式2-2（４・５月分）'!N180)</f>
        <v/>
      </c>
      <c r="AW235" s="1305"/>
      <c r="AX235" s="1474"/>
      <c r="AY235" s="430"/>
      <c r="BD235" s="340"/>
      <c r="BE235" s="1303" t="str">
        <f>G234</f>
        <v/>
      </c>
      <c r="BF235" s="1303"/>
      <c r="BG235" s="1303"/>
    </row>
    <row r="236" spans="1:59" ht="15" customHeight="1">
      <c r="A236" s="1295"/>
      <c r="B236" s="1235"/>
      <c r="C236" s="1236"/>
      <c r="D236" s="1236"/>
      <c r="E236" s="1236"/>
      <c r="F236" s="1237"/>
      <c r="G236" s="1252"/>
      <c r="H236" s="1252"/>
      <c r="I236" s="1252"/>
      <c r="J236" s="1415"/>
      <c r="K236" s="1252"/>
      <c r="L236" s="1421"/>
      <c r="M236" s="1372"/>
      <c r="N236" s="1393"/>
      <c r="O236" s="1373" t="s">
        <v>2025</v>
      </c>
      <c r="P236" s="1425" t="str">
        <f>IFERROR(VLOOKUP('別紙様式2-2（４・５月分）'!AQ179,【参考】数式用!$AR$5:$AT$22,3,FALSE),"")</f>
        <v/>
      </c>
      <c r="Q236" s="1377" t="s">
        <v>2036</v>
      </c>
      <c r="R236" s="1508" t="str">
        <f>IFERROR(VLOOKUP(K234,【参考】数式用!$A$5:$AB$37,MATCH(P236,【参考】数式用!$B$4:$AB$4,0)+1,0),"")</f>
        <v/>
      </c>
      <c r="S236" s="1381" t="s">
        <v>2109</v>
      </c>
      <c r="T236" s="1510"/>
      <c r="U236" s="1506" t="str">
        <f>IFERROR(VLOOKUP(K234,【参考】数式用!$A$5:$AB$37,MATCH(T236,【参考】数式用!$B$4:$AB$4,0)+1,0),"")</f>
        <v/>
      </c>
      <c r="V236" s="1387" t="s">
        <v>15</v>
      </c>
      <c r="W236" s="1504"/>
      <c r="X236" s="1363" t="s">
        <v>10</v>
      </c>
      <c r="Y236" s="1504"/>
      <c r="Z236" s="1363" t="s">
        <v>38</v>
      </c>
      <c r="AA236" s="1504"/>
      <c r="AB236" s="1363" t="s">
        <v>10</v>
      </c>
      <c r="AC236" s="1504"/>
      <c r="AD236" s="1363" t="s">
        <v>2020</v>
      </c>
      <c r="AE236" s="1363" t="s">
        <v>20</v>
      </c>
      <c r="AF236" s="1363" t="str">
        <f>IF(W236&gt;=1,(AA236*12+AC236)-(W236*12+Y236)+1,"")</f>
        <v/>
      </c>
      <c r="AG236" s="1359" t="s">
        <v>33</v>
      </c>
      <c r="AH236" s="1365" t="str">
        <f t="shared" ref="AH236" si="380">IFERROR(ROUNDDOWN(ROUND(L234*U236,0),0)*AF236,"")</f>
        <v/>
      </c>
      <c r="AI236" s="1498" t="str">
        <f t="shared" ref="AI236" si="381">IFERROR(ROUNDDOWN(ROUND((L234*(U236-AW234)),0),0)*AF236,"")</f>
        <v/>
      </c>
      <c r="AJ236" s="1369" t="str">
        <f>IFERROR(ROUNDDOWN(ROUNDDOWN(ROUND(L234*VLOOKUP(K234,【参考】数式用!$A$5:$AB$27,MATCH("新加算Ⅳ",【参考】数式用!$B$4:$AB$4,0)+1,0),0),0)*AF236*0.5,0),"")</f>
        <v/>
      </c>
      <c r="AK236" s="1500"/>
      <c r="AL236" s="1502" t="str">
        <f>IFERROR(IF('別紙様式2-2（４・５月分）'!P236="ベア加算","", IF(OR(T236="新加算Ⅰ",T236="新加算Ⅱ",T236="新加算Ⅲ",T236="新加算Ⅳ"),ROUNDDOWN(ROUND(L234*VLOOKUP(K234,【参考】数式用!$A$5:$I$27,MATCH("ベア加算",【参考】数式用!$B$4:$I$4,0)+1,0),0),0)*AF236,"")),"")</f>
        <v/>
      </c>
      <c r="AM236" s="1494"/>
      <c r="AN236" s="1475"/>
      <c r="AO236" s="1496"/>
      <c r="AP236" s="1475"/>
      <c r="AQ236" s="1477"/>
      <c r="AR236" s="1479"/>
      <c r="AS236" s="1483"/>
      <c r="AT236" s="451"/>
      <c r="AU236" s="1303" t="str">
        <f>IF(AND(AA234&lt;&gt;7,AC234&lt;&gt;3),"V列に色付け","")</f>
        <v/>
      </c>
      <c r="AV236" s="1304"/>
      <c r="AW236" s="1305"/>
      <c r="AX236" s="574"/>
      <c r="AY236" s="1222" t="str">
        <f>IF(AL236&lt;&gt;"",IF(AM236="○","入力済","未入力"),"")</f>
        <v/>
      </c>
      <c r="AZ236" s="1222"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2" t="str">
        <f>IF(OR(T236="新加算Ⅴ（７）",T236="新加算Ⅴ（９）",T236="新加算Ⅴ（10）",T236="新加算Ⅴ（12）",T236="新加算Ⅴ（13）",T236="新加算Ⅴ（14）"),IF(OR(AO236="○",AO236="令和６年度中に満たす"),"入力済","未入力"),"")</f>
        <v/>
      </c>
      <c r="BB236" s="1222" t="str">
        <f>IF(OR(T236="新加算Ⅰ",T236="新加算Ⅱ",T236="新加算Ⅲ",T236="新加算Ⅴ（１）",T236="新加算Ⅴ（３）",T236="新加算Ⅴ（８）"),IF(OR(AP236="○",AP236="令和６年度中に満たす"),"入力済","未入力"),"")</f>
        <v/>
      </c>
      <c r="BC236" s="1472"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03" t="str">
        <f>IF(OR(T236="新加算Ⅰ",T236="新加算Ⅴ（１）",T236="新加算Ⅴ（２）",T236="新加算Ⅴ（５）",T236="新加算Ⅴ（７）",T236="新加算Ⅴ（10）"),IF(AR236="","未入力","入力済"),"")</f>
        <v/>
      </c>
      <c r="BE236" s="1303" t="str">
        <f>G234</f>
        <v/>
      </c>
      <c r="BF236" s="1303"/>
      <c r="BG236" s="1303"/>
    </row>
    <row r="237" spans="1:59" ht="30" customHeight="1" thickBot="1">
      <c r="A237" s="1268"/>
      <c r="B237" s="1411"/>
      <c r="C237" s="1412"/>
      <c r="D237" s="1412"/>
      <c r="E237" s="1412"/>
      <c r="F237" s="1413"/>
      <c r="G237" s="1253"/>
      <c r="H237" s="1253"/>
      <c r="I237" s="1253"/>
      <c r="J237" s="1416"/>
      <c r="K237" s="1253"/>
      <c r="L237" s="1422"/>
      <c r="M237" s="553" t="str">
        <f>IF('別紙様式2-2（４・５月分）'!P181="","",'別紙様式2-2（４・５月分）'!P181)</f>
        <v/>
      </c>
      <c r="N237" s="1394"/>
      <c r="O237" s="1374"/>
      <c r="P237" s="1426"/>
      <c r="Q237" s="1378"/>
      <c r="R237" s="1509"/>
      <c r="S237" s="1382"/>
      <c r="T237" s="1511"/>
      <c r="U237" s="1507"/>
      <c r="V237" s="1388"/>
      <c r="W237" s="1505"/>
      <c r="X237" s="1364"/>
      <c r="Y237" s="1505"/>
      <c r="Z237" s="1364"/>
      <c r="AA237" s="1505"/>
      <c r="AB237" s="1364"/>
      <c r="AC237" s="1505"/>
      <c r="AD237" s="1364"/>
      <c r="AE237" s="1364"/>
      <c r="AF237" s="1364"/>
      <c r="AG237" s="1360"/>
      <c r="AH237" s="1366"/>
      <c r="AI237" s="1499"/>
      <c r="AJ237" s="1370"/>
      <c r="AK237" s="1501"/>
      <c r="AL237" s="1503"/>
      <c r="AM237" s="1495"/>
      <c r="AN237" s="1476"/>
      <c r="AO237" s="1497"/>
      <c r="AP237" s="1476"/>
      <c r="AQ237" s="1478"/>
      <c r="AR237" s="1480"/>
      <c r="AS237" s="575"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1"/>
      <c r="AU237" s="1303"/>
      <c r="AV237" s="555" t="str">
        <f>IF('別紙様式2-2（４・５月分）'!N181="","",'別紙様式2-2（４・５月分）'!N181)</f>
        <v/>
      </c>
      <c r="AW237" s="1305"/>
      <c r="AX237" s="576"/>
      <c r="AY237" s="1222" t="str">
        <f>IF(OR(T237="新加算Ⅰ",T237="新加算Ⅱ",T237="新加算Ⅲ",T237="新加算Ⅳ",T237="新加算Ⅴ（１）",T237="新加算Ⅴ（２）",T237="新加算Ⅴ（３）",T237="新加算ⅠⅤ（４）",T237="新加算Ⅴ（５）",T237="新加算Ⅴ（６）",T237="新加算Ⅴ（８）",T237="新加算Ⅴ（11）"),IF(AI237="○","","未入力"),"")</f>
        <v/>
      </c>
      <c r="AZ237" s="1222" t="str">
        <f>IF(OR(U237="新加算Ⅰ",U237="新加算Ⅱ",U237="新加算Ⅲ",U237="新加算Ⅳ",U237="新加算Ⅴ（１）",U237="新加算Ⅴ（２）",U237="新加算Ⅴ（３）",U237="新加算ⅠⅤ（４）",U237="新加算Ⅴ（５）",U237="新加算Ⅴ（６）",U237="新加算Ⅴ（８）",U237="新加算Ⅴ（11）"),IF(AJ237="○","","未入力"),"")</f>
        <v/>
      </c>
      <c r="BA237" s="1222" t="str">
        <f>IF(OR(U237="新加算Ⅴ（７）",U237="新加算Ⅴ（９）",U237="新加算Ⅴ（10）",U237="新加算Ⅴ（12）",U237="新加算Ⅴ（13）",U237="新加算Ⅴ（14）"),IF(AK237="○","","未入力"),"")</f>
        <v/>
      </c>
      <c r="BB237" s="1222" t="str">
        <f>IF(OR(U237="新加算Ⅰ",U237="新加算Ⅱ",U237="新加算Ⅲ",U237="新加算Ⅴ（１）",U237="新加算Ⅴ（３）",U237="新加算Ⅴ（８）"),IF(AL237="○","","未入力"),"")</f>
        <v/>
      </c>
      <c r="BC237" s="1472"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03" t="str">
        <f>IF(AND(T237&lt;&gt;"（参考）令和７年度の移行予定",OR(U237="新加算Ⅰ",U237="新加算Ⅴ（１）",U237="新加算Ⅴ（２）",U237="新加算Ⅴ（５）",U237="新加算Ⅴ（７）",U237="新加算Ⅴ（10）")),IF(AN237="","未入力",IF(AN237="いずれも取得していない","要件を満たさない","")),"")</f>
        <v/>
      </c>
      <c r="BE237" s="1303" t="str">
        <f>G234</f>
        <v/>
      </c>
      <c r="BF237" s="1303"/>
      <c r="BG237" s="1303"/>
    </row>
    <row r="238" spans="1:59" ht="30" customHeight="1">
      <c r="A238" s="1266">
        <v>57</v>
      </c>
      <c r="B238" s="1235" t="str">
        <f>IF(基本情報入力シート!C110="","",基本情報入力シート!C110)</f>
        <v/>
      </c>
      <c r="C238" s="1236"/>
      <c r="D238" s="1236"/>
      <c r="E238" s="1236"/>
      <c r="F238" s="1237"/>
      <c r="G238" s="1252" t="str">
        <f>IF(基本情報入力シート!M110="","",基本情報入力シート!M110)</f>
        <v/>
      </c>
      <c r="H238" s="1252" t="str">
        <f>IF(基本情報入力シート!R110="","",基本情報入力シート!R110)</f>
        <v/>
      </c>
      <c r="I238" s="1252" t="str">
        <f>IF(基本情報入力シート!W110="","",基本情報入力シート!W110)</f>
        <v/>
      </c>
      <c r="J238" s="1415" t="str">
        <f>IF(基本情報入力シート!X110="","",基本情報入力シート!X110)</f>
        <v/>
      </c>
      <c r="K238" s="1252" t="str">
        <f>IF(基本情報入力シート!Y110="","",基本情報入力シート!Y110)</f>
        <v/>
      </c>
      <c r="L238" s="1421" t="str">
        <f>IF(基本情報入力シート!AB110="","",基本情報入力シート!AB110)</f>
        <v/>
      </c>
      <c r="M238" s="550" t="str">
        <f>IF('別紙様式2-2（４・５月分）'!P182="","",'別紙様式2-2（４・５月分）'!P182)</f>
        <v/>
      </c>
      <c r="N238" s="1391" t="str">
        <f>IF(SUM('別紙様式2-2（４・５月分）'!Q182:Q184)=0,"",SUM('別紙様式2-2（４・５月分）'!Q182:Q184))</f>
        <v/>
      </c>
      <c r="O238" s="1395" t="str">
        <f>IFERROR(VLOOKUP('別紙様式2-2（４・５月分）'!AQ182,【参考】数式用!$AR$5:$AS$22,2,FALSE),"")</f>
        <v/>
      </c>
      <c r="P238" s="1396"/>
      <c r="Q238" s="1397"/>
      <c r="R238" s="1531" t="str">
        <f>IFERROR(VLOOKUP(K238,【参考】数式用!$A$5:$AB$37,MATCH(O238,【参考】数式用!$B$4:$AB$4,0)+1,0),"")</f>
        <v/>
      </c>
      <c r="S238" s="1403" t="s">
        <v>2102</v>
      </c>
      <c r="T238" s="1527" t="str">
        <f>IF('別紙様式2-3（６月以降分）'!T238="","",'別紙様式2-3（６月以降分）'!T238)</f>
        <v/>
      </c>
      <c r="U238" s="1529" t="str">
        <f>IFERROR(VLOOKUP(K238,【参考】数式用!$A$5:$AB$37,MATCH(T238,【参考】数式用!$B$4:$AB$4,0)+1,0),"")</f>
        <v/>
      </c>
      <c r="V238" s="1409" t="s">
        <v>15</v>
      </c>
      <c r="W238" s="1525">
        <f>'別紙様式2-3（６月以降分）'!W238</f>
        <v>6</v>
      </c>
      <c r="X238" s="1349" t="s">
        <v>10</v>
      </c>
      <c r="Y238" s="1525">
        <f>'別紙様式2-3（６月以降分）'!Y238</f>
        <v>6</v>
      </c>
      <c r="Z238" s="1349" t="s">
        <v>38</v>
      </c>
      <c r="AA238" s="1525">
        <f>'別紙様式2-3（６月以降分）'!AA238</f>
        <v>7</v>
      </c>
      <c r="AB238" s="1349" t="s">
        <v>10</v>
      </c>
      <c r="AC238" s="1525">
        <f>'別紙様式2-3（６月以降分）'!AC238</f>
        <v>3</v>
      </c>
      <c r="AD238" s="1349" t="s">
        <v>2020</v>
      </c>
      <c r="AE238" s="1349" t="s">
        <v>20</v>
      </c>
      <c r="AF238" s="1349">
        <f>IF(W238&gt;=1,(AA238*12+AC238)-(W238*12+Y238)+1,"")</f>
        <v>10</v>
      </c>
      <c r="AG238" s="1351" t="s">
        <v>33</v>
      </c>
      <c r="AH238" s="1517" t="str">
        <f>'別紙様式2-3（６月以降分）'!AH238</f>
        <v/>
      </c>
      <c r="AI238" s="1519" t="str">
        <f>'別紙様式2-3（６月以降分）'!AI238</f>
        <v/>
      </c>
      <c r="AJ238" s="1521">
        <f>'別紙様式2-3（６月以降分）'!AJ238</f>
        <v>0</v>
      </c>
      <c r="AK238" s="1523" t="str">
        <f>IF('別紙様式2-3（６月以降分）'!AK238="","",'別紙様式2-3（６月以降分）'!AK238)</f>
        <v/>
      </c>
      <c r="AL238" s="1512">
        <f>'別紙様式2-3（６月以降分）'!AL238</f>
        <v>0</v>
      </c>
      <c r="AM238" s="1514" t="str">
        <f>IF('別紙様式2-3（６月以降分）'!AM238="","",'別紙様式2-3（６月以降分）'!AM238)</f>
        <v/>
      </c>
      <c r="AN238" s="1333" t="str">
        <f>IF('別紙様式2-3（６月以降分）'!AN238="","",'別紙様式2-3（６月以降分）'!AN238)</f>
        <v/>
      </c>
      <c r="AO238" s="1331" t="str">
        <f>IF('別紙様式2-3（６月以降分）'!AO238="","",'別紙様式2-3（６月以降分）'!AO238)</f>
        <v/>
      </c>
      <c r="AP238" s="1333" t="str">
        <f>IF('別紙様式2-3（６月以降分）'!AP238="","",'別紙様式2-3（６月以降分）'!AP238)</f>
        <v/>
      </c>
      <c r="AQ238" s="1481" t="str">
        <f>IF('別紙様式2-3（６月以降分）'!AQ238="","",'別紙様式2-3（６月以降分）'!AQ238)</f>
        <v/>
      </c>
      <c r="AR238" s="1484" t="str">
        <f>IF('別紙様式2-3（６月以降分）'!AR238="","",'別紙様式2-3（６月以降分）'!AR238)</f>
        <v/>
      </c>
      <c r="AS238" s="570" t="str">
        <f t="shared" ref="AS238" si="385">IF(AU240="","",IF(U240&lt;U238,"！加算の要件上は問題ありませんが、令和６年度当初の新加算の加算率と比較して、移行後の加算率が下がる計画になっています。",""))</f>
        <v/>
      </c>
      <c r="AT238" s="577"/>
      <c r="AU238" s="1301"/>
      <c r="AV238" s="555" t="str">
        <f>IF('別紙様式2-2（４・５月分）'!N182="","",'別紙様式2-2（４・５月分）'!N182)</f>
        <v/>
      </c>
      <c r="AW238" s="1305" t="str">
        <f>IF(SUM('別紙様式2-2（４・５月分）'!O182:O184)=0,"",SUM('別紙様式2-2（４・５月分）'!O182:O184))</f>
        <v/>
      </c>
      <c r="AX238" s="1473" t="str">
        <f>IFERROR(VLOOKUP(K238,【参考】数式用!$AH$2:$AI$34,2,FALSE),"")</f>
        <v/>
      </c>
      <c r="AY238" s="493"/>
      <c r="BD238" s="340"/>
      <c r="BE238" s="1303" t="str">
        <f>G238</f>
        <v/>
      </c>
      <c r="BF238" s="1303"/>
      <c r="BG238" s="1303"/>
    </row>
    <row r="239" spans="1:59" ht="15" customHeight="1">
      <c r="A239" s="1267"/>
      <c r="B239" s="1235"/>
      <c r="C239" s="1236"/>
      <c r="D239" s="1236"/>
      <c r="E239" s="1236"/>
      <c r="F239" s="1237"/>
      <c r="G239" s="1252"/>
      <c r="H239" s="1252"/>
      <c r="I239" s="1252"/>
      <c r="J239" s="1415"/>
      <c r="K239" s="1252"/>
      <c r="L239" s="1421"/>
      <c r="M239" s="1371" t="str">
        <f>IF('別紙様式2-2（４・５月分）'!P183="","",'別紙様式2-2（４・５月分）'!P183)</f>
        <v/>
      </c>
      <c r="N239" s="1392"/>
      <c r="O239" s="1398"/>
      <c r="P239" s="1399"/>
      <c r="Q239" s="1400"/>
      <c r="R239" s="1532"/>
      <c r="S239" s="1404"/>
      <c r="T239" s="1528"/>
      <c r="U239" s="1530"/>
      <c r="V239" s="1410"/>
      <c r="W239" s="1526"/>
      <c r="X239" s="1350"/>
      <c r="Y239" s="1526"/>
      <c r="Z239" s="1350"/>
      <c r="AA239" s="1526"/>
      <c r="AB239" s="1350"/>
      <c r="AC239" s="1526"/>
      <c r="AD239" s="1350"/>
      <c r="AE239" s="1350"/>
      <c r="AF239" s="1350"/>
      <c r="AG239" s="1352"/>
      <c r="AH239" s="1518"/>
      <c r="AI239" s="1520"/>
      <c r="AJ239" s="1522"/>
      <c r="AK239" s="1524"/>
      <c r="AL239" s="1513"/>
      <c r="AM239" s="1515"/>
      <c r="AN239" s="1334"/>
      <c r="AO239" s="1516"/>
      <c r="AP239" s="1334"/>
      <c r="AQ239" s="1482"/>
      <c r="AR239" s="1485"/>
      <c r="AS239" s="1483" t="str">
        <f t="shared" ref="AS239" si="386">IF(AU240="","",IF(OR(AA240="",AA240&lt;&gt;7,AC240="",AC240&lt;&gt;3),"！算定期間の終わりが令和７年３月になっていません。年度内の廃止予定等がなければ、算定対象月を令和７年３月にしてください。",""))</f>
        <v/>
      </c>
      <c r="AT239" s="577"/>
      <c r="AU239" s="1303"/>
      <c r="AV239" s="1304" t="str">
        <f>IF('別紙様式2-2（４・５月分）'!N183="","",'別紙様式2-2（４・５月分）'!N183)</f>
        <v/>
      </c>
      <c r="AW239" s="1305"/>
      <c r="AX239" s="1474"/>
      <c r="AY239" s="430"/>
      <c r="BD239" s="340"/>
      <c r="BE239" s="1303" t="str">
        <f>G238</f>
        <v/>
      </c>
      <c r="BF239" s="1303"/>
      <c r="BG239" s="1303"/>
    </row>
    <row r="240" spans="1:59" ht="15" customHeight="1">
      <c r="A240" s="1295"/>
      <c r="B240" s="1235"/>
      <c r="C240" s="1236"/>
      <c r="D240" s="1236"/>
      <c r="E240" s="1236"/>
      <c r="F240" s="1237"/>
      <c r="G240" s="1252"/>
      <c r="H240" s="1252"/>
      <c r="I240" s="1252"/>
      <c r="J240" s="1415"/>
      <c r="K240" s="1252"/>
      <c r="L240" s="1421"/>
      <c r="M240" s="1372"/>
      <c r="N240" s="1393"/>
      <c r="O240" s="1373" t="s">
        <v>2025</v>
      </c>
      <c r="P240" s="1425" t="str">
        <f>IFERROR(VLOOKUP('別紙様式2-2（４・５月分）'!AQ182,【参考】数式用!$AR$5:$AT$22,3,FALSE),"")</f>
        <v/>
      </c>
      <c r="Q240" s="1377" t="s">
        <v>2036</v>
      </c>
      <c r="R240" s="1508" t="str">
        <f>IFERROR(VLOOKUP(K238,【参考】数式用!$A$5:$AB$37,MATCH(P240,【参考】数式用!$B$4:$AB$4,0)+1,0),"")</f>
        <v/>
      </c>
      <c r="S240" s="1381" t="s">
        <v>2109</v>
      </c>
      <c r="T240" s="1510"/>
      <c r="U240" s="1506" t="str">
        <f>IFERROR(VLOOKUP(K238,【参考】数式用!$A$5:$AB$37,MATCH(T240,【参考】数式用!$B$4:$AB$4,0)+1,0),"")</f>
        <v/>
      </c>
      <c r="V240" s="1387" t="s">
        <v>15</v>
      </c>
      <c r="W240" s="1504"/>
      <c r="X240" s="1363" t="s">
        <v>10</v>
      </c>
      <c r="Y240" s="1504"/>
      <c r="Z240" s="1363" t="s">
        <v>38</v>
      </c>
      <c r="AA240" s="1504"/>
      <c r="AB240" s="1363" t="s">
        <v>10</v>
      </c>
      <c r="AC240" s="1504"/>
      <c r="AD240" s="1363" t="s">
        <v>2020</v>
      </c>
      <c r="AE240" s="1363" t="s">
        <v>20</v>
      </c>
      <c r="AF240" s="1363" t="str">
        <f>IF(W240&gt;=1,(AA240*12+AC240)-(W240*12+Y240)+1,"")</f>
        <v/>
      </c>
      <c r="AG240" s="1359" t="s">
        <v>33</v>
      </c>
      <c r="AH240" s="1365" t="str">
        <f t="shared" ref="AH240" si="387">IFERROR(ROUNDDOWN(ROUND(L238*U240,0),0)*AF240,"")</f>
        <v/>
      </c>
      <c r="AI240" s="1498" t="str">
        <f t="shared" ref="AI240" si="388">IFERROR(ROUNDDOWN(ROUND((L238*(U240-AW238)),0),0)*AF240,"")</f>
        <v/>
      </c>
      <c r="AJ240" s="1369" t="str">
        <f>IFERROR(ROUNDDOWN(ROUNDDOWN(ROUND(L238*VLOOKUP(K238,【参考】数式用!$A$5:$AB$27,MATCH("新加算Ⅳ",【参考】数式用!$B$4:$AB$4,0)+1,0),0),0)*AF240*0.5,0),"")</f>
        <v/>
      </c>
      <c r="AK240" s="1500"/>
      <c r="AL240" s="1502" t="str">
        <f>IFERROR(IF('別紙様式2-2（４・５月分）'!P240="ベア加算","", IF(OR(T240="新加算Ⅰ",T240="新加算Ⅱ",T240="新加算Ⅲ",T240="新加算Ⅳ"),ROUNDDOWN(ROUND(L238*VLOOKUP(K238,【参考】数式用!$A$5:$I$27,MATCH("ベア加算",【参考】数式用!$B$4:$I$4,0)+1,0),0),0)*AF240,"")),"")</f>
        <v/>
      </c>
      <c r="AM240" s="1494"/>
      <c r="AN240" s="1475"/>
      <c r="AO240" s="1496"/>
      <c r="AP240" s="1475"/>
      <c r="AQ240" s="1477"/>
      <c r="AR240" s="1479"/>
      <c r="AS240" s="1483"/>
      <c r="AT240" s="451"/>
      <c r="AU240" s="1303" t="str">
        <f>IF(AND(AA238&lt;&gt;7,AC238&lt;&gt;3),"V列に色付け","")</f>
        <v/>
      </c>
      <c r="AV240" s="1304"/>
      <c r="AW240" s="1305"/>
      <c r="AX240" s="574"/>
      <c r="AY240" s="1222" t="str">
        <f>IF(AL240&lt;&gt;"",IF(AM240="○","入力済","未入力"),"")</f>
        <v/>
      </c>
      <c r="AZ240" s="1222"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2" t="str">
        <f>IF(OR(T240="新加算Ⅴ（７）",T240="新加算Ⅴ（９）",T240="新加算Ⅴ（10）",T240="新加算Ⅴ（12）",T240="新加算Ⅴ（13）",T240="新加算Ⅴ（14）"),IF(OR(AO240="○",AO240="令和６年度中に満たす"),"入力済","未入力"),"")</f>
        <v/>
      </c>
      <c r="BB240" s="1222" t="str">
        <f>IF(OR(T240="新加算Ⅰ",T240="新加算Ⅱ",T240="新加算Ⅲ",T240="新加算Ⅴ（１）",T240="新加算Ⅴ（３）",T240="新加算Ⅴ（８）"),IF(OR(AP240="○",AP240="令和６年度中に満たす"),"入力済","未入力"),"")</f>
        <v/>
      </c>
      <c r="BC240" s="1472"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03" t="str">
        <f>IF(OR(T240="新加算Ⅰ",T240="新加算Ⅴ（１）",T240="新加算Ⅴ（２）",T240="新加算Ⅴ（５）",T240="新加算Ⅴ（７）",T240="新加算Ⅴ（10）"),IF(AR240="","未入力","入力済"),"")</f>
        <v/>
      </c>
      <c r="BE240" s="1303" t="str">
        <f>G238</f>
        <v/>
      </c>
      <c r="BF240" s="1303"/>
      <c r="BG240" s="1303"/>
    </row>
    <row r="241" spans="1:59" ht="30" customHeight="1" thickBot="1">
      <c r="A241" s="1268"/>
      <c r="B241" s="1411"/>
      <c r="C241" s="1412"/>
      <c r="D241" s="1412"/>
      <c r="E241" s="1412"/>
      <c r="F241" s="1413"/>
      <c r="G241" s="1253"/>
      <c r="H241" s="1253"/>
      <c r="I241" s="1253"/>
      <c r="J241" s="1416"/>
      <c r="K241" s="1253"/>
      <c r="L241" s="1422"/>
      <c r="M241" s="553" t="str">
        <f>IF('別紙様式2-2（４・５月分）'!P184="","",'別紙様式2-2（４・５月分）'!P184)</f>
        <v/>
      </c>
      <c r="N241" s="1394"/>
      <c r="O241" s="1374"/>
      <c r="P241" s="1426"/>
      <c r="Q241" s="1378"/>
      <c r="R241" s="1509"/>
      <c r="S241" s="1382"/>
      <c r="T241" s="1511"/>
      <c r="U241" s="1507"/>
      <c r="V241" s="1388"/>
      <c r="W241" s="1505"/>
      <c r="X241" s="1364"/>
      <c r="Y241" s="1505"/>
      <c r="Z241" s="1364"/>
      <c r="AA241" s="1505"/>
      <c r="AB241" s="1364"/>
      <c r="AC241" s="1505"/>
      <c r="AD241" s="1364"/>
      <c r="AE241" s="1364"/>
      <c r="AF241" s="1364"/>
      <c r="AG241" s="1360"/>
      <c r="AH241" s="1366"/>
      <c r="AI241" s="1499"/>
      <c r="AJ241" s="1370"/>
      <c r="AK241" s="1501"/>
      <c r="AL241" s="1503"/>
      <c r="AM241" s="1495"/>
      <c r="AN241" s="1476"/>
      <c r="AO241" s="1497"/>
      <c r="AP241" s="1476"/>
      <c r="AQ241" s="1478"/>
      <c r="AR241" s="1480"/>
      <c r="AS241" s="575"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1"/>
      <c r="AU241" s="1303"/>
      <c r="AV241" s="555" t="str">
        <f>IF('別紙様式2-2（４・５月分）'!N184="","",'別紙様式2-2（４・５月分）'!N184)</f>
        <v/>
      </c>
      <c r="AW241" s="1305"/>
      <c r="AX241" s="576"/>
      <c r="AY241" s="1222" t="str">
        <f>IF(OR(T241="新加算Ⅰ",T241="新加算Ⅱ",T241="新加算Ⅲ",T241="新加算Ⅳ",T241="新加算Ⅴ（１）",T241="新加算Ⅴ（２）",T241="新加算Ⅴ（３）",T241="新加算ⅠⅤ（４）",T241="新加算Ⅴ（５）",T241="新加算Ⅴ（６）",T241="新加算Ⅴ（８）",T241="新加算Ⅴ（11）"),IF(AI241="○","","未入力"),"")</f>
        <v/>
      </c>
      <c r="AZ241" s="1222" t="str">
        <f>IF(OR(U241="新加算Ⅰ",U241="新加算Ⅱ",U241="新加算Ⅲ",U241="新加算Ⅳ",U241="新加算Ⅴ（１）",U241="新加算Ⅴ（２）",U241="新加算Ⅴ（３）",U241="新加算ⅠⅤ（４）",U241="新加算Ⅴ（５）",U241="新加算Ⅴ（６）",U241="新加算Ⅴ（８）",U241="新加算Ⅴ（11）"),IF(AJ241="○","","未入力"),"")</f>
        <v/>
      </c>
      <c r="BA241" s="1222" t="str">
        <f>IF(OR(U241="新加算Ⅴ（７）",U241="新加算Ⅴ（９）",U241="新加算Ⅴ（10）",U241="新加算Ⅴ（12）",U241="新加算Ⅴ（13）",U241="新加算Ⅴ（14）"),IF(AK241="○","","未入力"),"")</f>
        <v/>
      </c>
      <c r="BB241" s="1222" t="str">
        <f>IF(OR(U241="新加算Ⅰ",U241="新加算Ⅱ",U241="新加算Ⅲ",U241="新加算Ⅴ（１）",U241="新加算Ⅴ（３）",U241="新加算Ⅴ（８）"),IF(AL241="○","","未入力"),"")</f>
        <v/>
      </c>
      <c r="BC241" s="1472"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03" t="str">
        <f>IF(AND(T241&lt;&gt;"（参考）令和７年度の移行予定",OR(U241="新加算Ⅰ",U241="新加算Ⅴ（１）",U241="新加算Ⅴ（２）",U241="新加算Ⅴ（５）",U241="新加算Ⅴ（７）",U241="新加算Ⅴ（10）")),IF(AN241="","未入力",IF(AN241="いずれも取得していない","要件を満たさない","")),"")</f>
        <v/>
      </c>
      <c r="BE241" s="1303" t="str">
        <f>G238</f>
        <v/>
      </c>
      <c r="BF241" s="1303"/>
      <c r="BG241" s="1303"/>
    </row>
    <row r="242" spans="1:59" ht="30" customHeight="1">
      <c r="A242" s="1293">
        <v>58</v>
      </c>
      <c r="B242" s="1232" t="str">
        <f>IF(基本情報入力シート!C111="","",基本情報入力シート!C111)</f>
        <v/>
      </c>
      <c r="C242" s="1233"/>
      <c r="D242" s="1233"/>
      <c r="E242" s="1233"/>
      <c r="F242" s="1234"/>
      <c r="G242" s="1251" t="str">
        <f>IF(基本情報入力シート!M111="","",基本情報入力シート!M111)</f>
        <v/>
      </c>
      <c r="H242" s="1251" t="str">
        <f>IF(基本情報入力シート!R111="","",基本情報入力シート!R111)</f>
        <v/>
      </c>
      <c r="I242" s="1251" t="str">
        <f>IF(基本情報入力シート!W111="","",基本情報入力シート!W111)</f>
        <v/>
      </c>
      <c r="J242" s="1414" t="str">
        <f>IF(基本情報入力シート!X111="","",基本情報入力シート!X111)</f>
        <v/>
      </c>
      <c r="K242" s="1251" t="str">
        <f>IF(基本情報入力シート!Y111="","",基本情報入力シート!Y111)</f>
        <v/>
      </c>
      <c r="L242" s="1427" t="str">
        <f>IF(基本情報入力シート!AB111="","",基本情報入力シート!AB111)</f>
        <v/>
      </c>
      <c r="M242" s="550" t="str">
        <f>IF('別紙様式2-2（４・５月分）'!P185="","",'別紙様式2-2（４・５月分）'!P185)</f>
        <v/>
      </c>
      <c r="N242" s="1391" t="str">
        <f>IF(SUM('別紙様式2-2（４・５月分）'!Q185:Q187)=0,"",SUM('別紙様式2-2（４・５月分）'!Q185:Q187))</f>
        <v/>
      </c>
      <c r="O242" s="1395" t="str">
        <f>IFERROR(VLOOKUP('別紙様式2-2（４・５月分）'!AQ185,【参考】数式用!$AR$5:$AS$22,2,FALSE),"")</f>
        <v/>
      </c>
      <c r="P242" s="1396"/>
      <c r="Q242" s="1397"/>
      <c r="R242" s="1531" t="str">
        <f>IFERROR(VLOOKUP(K242,【参考】数式用!$A$5:$AB$37,MATCH(O242,【参考】数式用!$B$4:$AB$4,0)+1,0),"")</f>
        <v/>
      </c>
      <c r="S242" s="1403" t="s">
        <v>2102</v>
      </c>
      <c r="T242" s="1527" t="str">
        <f>IF('別紙様式2-3（６月以降分）'!T242="","",'別紙様式2-3（６月以降分）'!T242)</f>
        <v/>
      </c>
      <c r="U242" s="1529" t="str">
        <f>IFERROR(VLOOKUP(K242,【参考】数式用!$A$5:$AB$37,MATCH(T242,【参考】数式用!$B$4:$AB$4,0)+1,0),"")</f>
        <v/>
      </c>
      <c r="V242" s="1409" t="s">
        <v>15</v>
      </c>
      <c r="W242" s="1525">
        <f>'別紙様式2-3（６月以降分）'!W242</f>
        <v>6</v>
      </c>
      <c r="X242" s="1349" t="s">
        <v>10</v>
      </c>
      <c r="Y242" s="1525">
        <f>'別紙様式2-3（６月以降分）'!Y242</f>
        <v>6</v>
      </c>
      <c r="Z242" s="1349" t="s">
        <v>38</v>
      </c>
      <c r="AA242" s="1525">
        <f>'別紙様式2-3（６月以降分）'!AA242</f>
        <v>7</v>
      </c>
      <c r="AB242" s="1349" t="s">
        <v>10</v>
      </c>
      <c r="AC242" s="1525">
        <f>'別紙様式2-3（６月以降分）'!AC242</f>
        <v>3</v>
      </c>
      <c r="AD242" s="1349" t="s">
        <v>2020</v>
      </c>
      <c r="AE242" s="1349" t="s">
        <v>20</v>
      </c>
      <c r="AF242" s="1349">
        <f>IF(W242&gt;=1,(AA242*12+AC242)-(W242*12+Y242)+1,"")</f>
        <v>10</v>
      </c>
      <c r="AG242" s="1351" t="s">
        <v>33</v>
      </c>
      <c r="AH242" s="1517" t="str">
        <f>'別紙様式2-3（６月以降分）'!AH242</f>
        <v/>
      </c>
      <c r="AI242" s="1519" t="str">
        <f>'別紙様式2-3（６月以降分）'!AI242</f>
        <v/>
      </c>
      <c r="AJ242" s="1521">
        <f>'別紙様式2-3（６月以降分）'!AJ242</f>
        <v>0</v>
      </c>
      <c r="AK242" s="1523" t="str">
        <f>IF('別紙様式2-3（６月以降分）'!AK242="","",'別紙様式2-3（６月以降分）'!AK242)</f>
        <v/>
      </c>
      <c r="AL242" s="1512">
        <f>'別紙様式2-3（６月以降分）'!AL242</f>
        <v>0</v>
      </c>
      <c r="AM242" s="1514" t="str">
        <f>IF('別紙様式2-3（６月以降分）'!AM242="","",'別紙様式2-3（６月以降分）'!AM242)</f>
        <v/>
      </c>
      <c r="AN242" s="1333" t="str">
        <f>IF('別紙様式2-3（６月以降分）'!AN242="","",'別紙様式2-3（６月以降分）'!AN242)</f>
        <v/>
      </c>
      <c r="AO242" s="1331" t="str">
        <f>IF('別紙様式2-3（６月以降分）'!AO242="","",'別紙様式2-3（６月以降分）'!AO242)</f>
        <v/>
      </c>
      <c r="AP242" s="1333" t="str">
        <f>IF('別紙様式2-3（６月以降分）'!AP242="","",'別紙様式2-3（６月以降分）'!AP242)</f>
        <v/>
      </c>
      <c r="AQ242" s="1481" t="str">
        <f>IF('別紙様式2-3（６月以降分）'!AQ242="","",'別紙様式2-3（６月以降分）'!AQ242)</f>
        <v/>
      </c>
      <c r="AR242" s="1484" t="str">
        <f>IF('別紙様式2-3（６月以降分）'!AR242="","",'別紙様式2-3（６月以降分）'!AR242)</f>
        <v/>
      </c>
      <c r="AS242" s="570" t="str">
        <f t="shared" ref="AS242" si="392">IF(AU244="","",IF(U244&lt;U242,"！加算の要件上は問題ありませんが、令和６年度当初の新加算の加算率と比較して、移行後の加算率が下がる計画になっています。",""))</f>
        <v/>
      </c>
      <c r="AT242" s="577"/>
      <c r="AU242" s="1301"/>
      <c r="AV242" s="555" t="str">
        <f>IF('別紙様式2-2（４・５月分）'!N185="","",'別紙様式2-2（４・５月分）'!N185)</f>
        <v/>
      </c>
      <c r="AW242" s="1305" t="str">
        <f>IF(SUM('別紙様式2-2（４・５月分）'!O185:O187)=0,"",SUM('別紙様式2-2（４・５月分）'!O185:O187))</f>
        <v/>
      </c>
      <c r="AX242" s="1473" t="str">
        <f>IFERROR(VLOOKUP(K242,【参考】数式用!$AH$2:$AI$34,2,FALSE),"")</f>
        <v/>
      </c>
      <c r="AY242" s="493"/>
      <c r="BD242" s="340"/>
      <c r="BE242" s="1303" t="str">
        <f>G242</f>
        <v/>
      </c>
      <c r="BF242" s="1303"/>
      <c r="BG242" s="1303"/>
    </row>
    <row r="243" spans="1:59" ht="15" customHeight="1">
      <c r="A243" s="1267"/>
      <c r="B243" s="1235"/>
      <c r="C243" s="1236"/>
      <c r="D243" s="1236"/>
      <c r="E243" s="1236"/>
      <c r="F243" s="1237"/>
      <c r="G243" s="1252"/>
      <c r="H243" s="1252"/>
      <c r="I243" s="1252"/>
      <c r="J243" s="1415"/>
      <c r="K243" s="1252"/>
      <c r="L243" s="1421"/>
      <c r="M243" s="1371" t="str">
        <f>IF('別紙様式2-2（４・５月分）'!P186="","",'別紙様式2-2（４・５月分）'!P186)</f>
        <v/>
      </c>
      <c r="N243" s="1392"/>
      <c r="O243" s="1398"/>
      <c r="P243" s="1399"/>
      <c r="Q243" s="1400"/>
      <c r="R243" s="1532"/>
      <c r="S243" s="1404"/>
      <c r="T243" s="1528"/>
      <c r="U243" s="1530"/>
      <c r="V243" s="1410"/>
      <c r="W243" s="1526"/>
      <c r="X243" s="1350"/>
      <c r="Y243" s="1526"/>
      <c r="Z243" s="1350"/>
      <c r="AA243" s="1526"/>
      <c r="AB243" s="1350"/>
      <c r="AC243" s="1526"/>
      <c r="AD243" s="1350"/>
      <c r="AE243" s="1350"/>
      <c r="AF243" s="1350"/>
      <c r="AG243" s="1352"/>
      <c r="AH243" s="1518"/>
      <c r="AI243" s="1520"/>
      <c r="AJ243" s="1522"/>
      <c r="AK243" s="1524"/>
      <c r="AL243" s="1513"/>
      <c r="AM243" s="1515"/>
      <c r="AN243" s="1334"/>
      <c r="AO243" s="1516"/>
      <c r="AP243" s="1334"/>
      <c r="AQ243" s="1482"/>
      <c r="AR243" s="1485"/>
      <c r="AS243" s="1483" t="str">
        <f t="shared" ref="AS243" si="393">IF(AU244="","",IF(OR(AA244="",AA244&lt;&gt;7,AC244="",AC244&lt;&gt;3),"！算定期間の終わりが令和７年３月になっていません。年度内の廃止予定等がなければ、算定対象月を令和７年３月にしてください。",""))</f>
        <v/>
      </c>
      <c r="AT243" s="577"/>
      <c r="AU243" s="1303"/>
      <c r="AV243" s="1304" t="str">
        <f>IF('別紙様式2-2（４・５月分）'!N186="","",'別紙様式2-2（４・５月分）'!N186)</f>
        <v/>
      </c>
      <c r="AW243" s="1305"/>
      <c r="AX243" s="1474"/>
      <c r="AY243" s="430"/>
      <c r="BD243" s="340"/>
      <c r="BE243" s="1303" t="str">
        <f>G242</f>
        <v/>
      </c>
      <c r="BF243" s="1303"/>
      <c r="BG243" s="1303"/>
    </row>
    <row r="244" spans="1:59" ht="15" customHeight="1">
      <c r="A244" s="1295"/>
      <c r="B244" s="1235"/>
      <c r="C244" s="1236"/>
      <c r="D244" s="1236"/>
      <c r="E244" s="1236"/>
      <c r="F244" s="1237"/>
      <c r="G244" s="1252"/>
      <c r="H244" s="1252"/>
      <c r="I244" s="1252"/>
      <c r="J244" s="1415"/>
      <c r="K244" s="1252"/>
      <c r="L244" s="1421"/>
      <c r="M244" s="1372"/>
      <c r="N244" s="1393"/>
      <c r="O244" s="1373" t="s">
        <v>2025</v>
      </c>
      <c r="P244" s="1425" t="str">
        <f>IFERROR(VLOOKUP('別紙様式2-2（４・５月分）'!AQ185,【参考】数式用!$AR$5:$AT$22,3,FALSE),"")</f>
        <v/>
      </c>
      <c r="Q244" s="1377" t="s">
        <v>2036</v>
      </c>
      <c r="R244" s="1508" t="str">
        <f>IFERROR(VLOOKUP(K242,【参考】数式用!$A$5:$AB$37,MATCH(P244,【参考】数式用!$B$4:$AB$4,0)+1,0),"")</f>
        <v/>
      </c>
      <c r="S244" s="1381" t="s">
        <v>2109</v>
      </c>
      <c r="T244" s="1510"/>
      <c r="U244" s="1506" t="str">
        <f>IFERROR(VLOOKUP(K242,【参考】数式用!$A$5:$AB$37,MATCH(T244,【参考】数式用!$B$4:$AB$4,0)+1,0),"")</f>
        <v/>
      </c>
      <c r="V244" s="1387" t="s">
        <v>15</v>
      </c>
      <c r="W244" s="1504"/>
      <c r="X244" s="1363" t="s">
        <v>10</v>
      </c>
      <c r="Y244" s="1504"/>
      <c r="Z244" s="1363" t="s">
        <v>38</v>
      </c>
      <c r="AA244" s="1504"/>
      <c r="AB244" s="1363" t="s">
        <v>10</v>
      </c>
      <c r="AC244" s="1504"/>
      <c r="AD244" s="1363" t="s">
        <v>2020</v>
      </c>
      <c r="AE244" s="1363" t="s">
        <v>20</v>
      </c>
      <c r="AF244" s="1363" t="str">
        <f>IF(W244&gt;=1,(AA244*12+AC244)-(W244*12+Y244)+1,"")</f>
        <v/>
      </c>
      <c r="AG244" s="1359" t="s">
        <v>33</v>
      </c>
      <c r="AH244" s="1365" t="str">
        <f t="shared" ref="AH244" si="394">IFERROR(ROUNDDOWN(ROUND(L242*U244,0),0)*AF244,"")</f>
        <v/>
      </c>
      <c r="AI244" s="1498" t="str">
        <f t="shared" ref="AI244" si="395">IFERROR(ROUNDDOWN(ROUND((L242*(U244-AW242)),0),0)*AF244,"")</f>
        <v/>
      </c>
      <c r="AJ244" s="1369" t="str">
        <f>IFERROR(ROUNDDOWN(ROUNDDOWN(ROUND(L242*VLOOKUP(K242,【参考】数式用!$A$5:$AB$27,MATCH("新加算Ⅳ",【参考】数式用!$B$4:$AB$4,0)+1,0),0),0)*AF244*0.5,0),"")</f>
        <v/>
      </c>
      <c r="AK244" s="1500"/>
      <c r="AL244" s="1502" t="str">
        <f>IFERROR(IF('別紙様式2-2（４・５月分）'!P244="ベア加算","", IF(OR(T244="新加算Ⅰ",T244="新加算Ⅱ",T244="新加算Ⅲ",T244="新加算Ⅳ"),ROUNDDOWN(ROUND(L242*VLOOKUP(K242,【参考】数式用!$A$5:$I$27,MATCH("ベア加算",【参考】数式用!$B$4:$I$4,0)+1,0),0),0)*AF244,"")),"")</f>
        <v/>
      </c>
      <c r="AM244" s="1494"/>
      <c r="AN244" s="1475"/>
      <c r="AO244" s="1496"/>
      <c r="AP244" s="1475"/>
      <c r="AQ244" s="1477"/>
      <c r="AR244" s="1479"/>
      <c r="AS244" s="1483"/>
      <c r="AT244" s="451"/>
      <c r="AU244" s="1303" t="str">
        <f>IF(AND(AA242&lt;&gt;7,AC242&lt;&gt;3),"V列に色付け","")</f>
        <v/>
      </c>
      <c r="AV244" s="1304"/>
      <c r="AW244" s="1305"/>
      <c r="AX244" s="574"/>
      <c r="AY244" s="1222" t="str">
        <f>IF(AL244&lt;&gt;"",IF(AM244="○","入力済","未入力"),"")</f>
        <v/>
      </c>
      <c r="AZ244" s="1222"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2" t="str">
        <f>IF(OR(T244="新加算Ⅴ（７）",T244="新加算Ⅴ（９）",T244="新加算Ⅴ（10）",T244="新加算Ⅴ（12）",T244="新加算Ⅴ（13）",T244="新加算Ⅴ（14）"),IF(OR(AO244="○",AO244="令和６年度中に満たす"),"入力済","未入力"),"")</f>
        <v/>
      </c>
      <c r="BB244" s="1222" t="str">
        <f>IF(OR(T244="新加算Ⅰ",T244="新加算Ⅱ",T244="新加算Ⅲ",T244="新加算Ⅴ（１）",T244="新加算Ⅴ（３）",T244="新加算Ⅴ（８）"),IF(OR(AP244="○",AP244="令和６年度中に満たす"),"入力済","未入力"),"")</f>
        <v/>
      </c>
      <c r="BC244" s="1472"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03" t="str">
        <f>IF(OR(T244="新加算Ⅰ",T244="新加算Ⅴ（１）",T244="新加算Ⅴ（２）",T244="新加算Ⅴ（５）",T244="新加算Ⅴ（７）",T244="新加算Ⅴ（10）"),IF(AR244="","未入力","入力済"),"")</f>
        <v/>
      </c>
      <c r="BE244" s="1303" t="str">
        <f>G242</f>
        <v/>
      </c>
      <c r="BF244" s="1303"/>
      <c r="BG244" s="1303"/>
    </row>
    <row r="245" spans="1:59" ht="30" customHeight="1" thickBot="1">
      <c r="A245" s="1268"/>
      <c r="B245" s="1411"/>
      <c r="C245" s="1412"/>
      <c r="D245" s="1412"/>
      <c r="E245" s="1412"/>
      <c r="F245" s="1413"/>
      <c r="G245" s="1253"/>
      <c r="H245" s="1253"/>
      <c r="I245" s="1253"/>
      <c r="J245" s="1416"/>
      <c r="K245" s="1253"/>
      <c r="L245" s="1422"/>
      <c r="M245" s="553" t="str">
        <f>IF('別紙様式2-2（４・５月分）'!P187="","",'別紙様式2-2（４・５月分）'!P187)</f>
        <v/>
      </c>
      <c r="N245" s="1394"/>
      <c r="O245" s="1374"/>
      <c r="P245" s="1426"/>
      <c r="Q245" s="1378"/>
      <c r="R245" s="1509"/>
      <c r="S245" s="1382"/>
      <c r="T245" s="1511"/>
      <c r="U245" s="1507"/>
      <c r="V245" s="1388"/>
      <c r="W245" s="1505"/>
      <c r="X245" s="1364"/>
      <c r="Y245" s="1505"/>
      <c r="Z245" s="1364"/>
      <c r="AA245" s="1505"/>
      <c r="AB245" s="1364"/>
      <c r="AC245" s="1505"/>
      <c r="AD245" s="1364"/>
      <c r="AE245" s="1364"/>
      <c r="AF245" s="1364"/>
      <c r="AG245" s="1360"/>
      <c r="AH245" s="1366"/>
      <c r="AI245" s="1499"/>
      <c r="AJ245" s="1370"/>
      <c r="AK245" s="1501"/>
      <c r="AL245" s="1503"/>
      <c r="AM245" s="1495"/>
      <c r="AN245" s="1476"/>
      <c r="AO245" s="1497"/>
      <c r="AP245" s="1476"/>
      <c r="AQ245" s="1478"/>
      <c r="AR245" s="1480"/>
      <c r="AS245" s="575"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1"/>
      <c r="AU245" s="1303"/>
      <c r="AV245" s="555" t="str">
        <f>IF('別紙様式2-2（４・５月分）'!N187="","",'別紙様式2-2（４・５月分）'!N187)</f>
        <v/>
      </c>
      <c r="AW245" s="1305"/>
      <c r="AX245" s="576"/>
      <c r="AY245" s="1222" t="str">
        <f>IF(OR(T245="新加算Ⅰ",T245="新加算Ⅱ",T245="新加算Ⅲ",T245="新加算Ⅳ",T245="新加算Ⅴ（１）",T245="新加算Ⅴ（２）",T245="新加算Ⅴ（３）",T245="新加算ⅠⅤ（４）",T245="新加算Ⅴ（５）",T245="新加算Ⅴ（６）",T245="新加算Ⅴ（８）",T245="新加算Ⅴ（11）"),IF(AI245="○","","未入力"),"")</f>
        <v/>
      </c>
      <c r="AZ245" s="1222" t="str">
        <f>IF(OR(U245="新加算Ⅰ",U245="新加算Ⅱ",U245="新加算Ⅲ",U245="新加算Ⅳ",U245="新加算Ⅴ（１）",U245="新加算Ⅴ（２）",U245="新加算Ⅴ（３）",U245="新加算ⅠⅤ（４）",U245="新加算Ⅴ（５）",U245="新加算Ⅴ（６）",U245="新加算Ⅴ（８）",U245="新加算Ⅴ（11）"),IF(AJ245="○","","未入力"),"")</f>
        <v/>
      </c>
      <c r="BA245" s="1222" t="str">
        <f>IF(OR(U245="新加算Ⅴ（７）",U245="新加算Ⅴ（９）",U245="新加算Ⅴ（10）",U245="新加算Ⅴ（12）",U245="新加算Ⅴ（13）",U245="新加算Ⅴ（14）"),IF(AK245="○","","未入力"),"")</f>
        <v/>
      </c>
      <c r="BB245" s="1222" t="str">
        <f>IF(OR(U245="新加算Ⅰ",U245="新加算Ⅱ",U245="新加算Ⅲ",U245="新加算Ⅴ（１）",U245="新加算Ⅴ（３）",U245="新加算Ⅴ（８）"),IF(AL245="○","","未入力"),"")</f>
        <v/>
      </c>
      <c r="BC245" s="1472"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03" t="str">
        <f>IF(AND(T245&lt;&gt;"（参考）令和７年度の移行予定",OR(U245="新加算Ⅰ",U245="新加算Ⅴ（１）",U245="新加算Ⅴ（２）",U245="新加算Ⅴ（５）",U245="新加算Ⅴ（７）",U245="新加算Ⅴ（10）")),IF(AN245="","未入力",IF(AN245="いずれも取得していない","要件を満たさない","")),"")</f>
        <v/>
      </c>
      <c r="BE245" s="1303" t="str">
        <f>G242</f>
        <v/>
      </c>
      <c r="BF245" s="1303"/>
      <c r="BG245" s="1303"/>
    </row>
    <row r="246" spans="1:59" ht="30" customHeight="1">
      <c r="A246" s="1266">
        <v>59</v>
      </c>
      <c r="B246" s="1235" t="str">
        <f>IF(基本情報入力シート!C112="","",基本情報入力シート!C112)</f>
        <v/>
      </c>
      <c r="C246" s="1236"/>
      <c r="D246" s="1236"/>
      <c r="E246" s="1236"/>
      <c r="F246" s="1237"/>
      <c r="G246" s="1252" t="str">
        <f>IF(基本情報入力シート!M112="","",基本情報入力シート!M112)</f>
        <v/>
      </c>
      <c r="H246" s="1252" t="str">
        <f>IF(基本情報入力シート!R112="","",基本情報入力シート!R112)</f>
        <v/>
      </c>
      <c r="I246" s="1252" t="str">
        <f>IF(基本情報入力シート!W112="","",基本情報入力シート!W112)</f>
        <v/>
      </c>
      <c r="J246" s="1415" t="str">
        <f>IF(基本情報入力シート!X112="","",基本情報入力シート!X112)</f>
        <v/>
      </c>
      <c r="K246" s="1252" t="str">
        <f>IF(基本情報入力シート!Y112="","",基本情報入力シート!Y112)</f>
        <v/>
      </c>
      <c r="L246" s="1421" t="str">
        <f>IF(基本情報入力シート!AB112="","",基本情報入力シート!AB112)</f>
        <v/>
      </c>
      <c r="M246" s="550" t="str">
        <f>IF('別紙様式2-2（４・５月分）'!P188="","",'別紙様式2-2（４・５月分）'!P188)</f>
        <v/>
      </c>
      <c r="N246" s="1391" t="str">
        <f>IF(SUM('別紙様式2-2（４・５月分）'!Q188:Q190)=0,"",SUM('別紙様式2-2（４・５月分）'!Q188:Q190))</f>
        <v/>
      </c>
      <c r="O246" s="1395" t="str">
        <f>IFERROR(VLOOKUP('別紙様式2-2（４・５月分）'!AQ188,【参考】数式用!$AR$5:$AS$22,2,FALSE),"")</f>
        <v/>
      </c>
      <c r="P246" s="1396"/>
      <c r="Q246" s="1397"/>
      <c r="R246" s="1531" t="str">
        <f>IFERROR(VLOOKUP(K246,【参考】数式用!$A$5:$AB$37,MATCH(O246,【参考】数式用!$B$4:$AB$4,0)+1,0),"")</f>
        <v/>
      </c>
      <c r="S246" s="1403" t="s">
        <v>2102</v>
      </c>
      <c r="T246" s="1527" t="str">
        <f>IF('別紙様式2-3（６月以降分）'!T246="","",'別紙様式2-3（６月以降分）'!T246)</f>
        <v/>
      </c>
      <c r="U246" s="1529" t="str">
        <f>IFERROR(VLOOKUP(K246,【参考】数式用!$A$5:$AB$37,MATCH(T246,【参考】数式用!$B$4:$AB$4,0)+1,0),"")</f>
        <v/>
      </c>
      <c r="V246" s="1409" t="s">
        <v>15</v>
      </c>
      <c r="W246" s="1525">
        <f>'別紙様式2-3（６月以降分）'!W246</f>
        <v>6</v>
      </c>
      <c r="X246" s="1349" t="s">
        <v>10</v>
      </c>
      <c r="Y246" s="1525">
        <f>'別紙様式2-3（６月以降分）'!Y246</f>
        <v>6</v>
      </c>
      <c r="Z246" s="1349" t="s">
        <v>38</v>
      </c>
      <c r="AA246" s="1525">
        <f>'別紙様式2-3（６月以降分）'!AA246</f>
        <v>7</v>
      </c>
      <c r="AB246" s="1349" t="s">
        <v>10</v>
      </c>
      <c r="AC246" s="1525">
        <f>'別紙様式2-3（６月以降分）'!AC246</f>
        <v>3</v>
      </c>
      <c r="AD246" s="1349" t="s">
        <v>2020</v>
      </c>
      <c r="AE246" s="1349" t="s">
        <v>20</v>
      </c>
      <c r="AF246" s="1349">
        <f>IF(W246&gt;=1,(AA246*12+AC246)-(W246*12+Y246)+1,"")</f>
        <v>10</v>
      </c>
      <c r="AG246" s="1351" t="s">
        <v>33</v>
      </c>
      <c r="AH246" s="1517" t="str">
        <f>'別紙様式2-3（６月以降分）'!AH246</f>
        <v/>
      </c>
      <c r="AI246" s="1519" t="str">
        <f>'別紙様式2-3（６月以降分）'!AI246</f>
        <v/>
      </c>
      <c r="AJ246" s="1521">
        <f>'別紙様式2-3（６月以降分）'!AJ246</f>
        <v>0</v>
      </c>
      <c r="AK246" s="1523" t="str">
        <f>IF('別紙様式2-3（６月以降分）'!AK246="","",'別紙様式2-3（６月以降分）'!AK246)</f>
        <v/>
      </c>
      <c r="AL246" s="1512">
        <f>'別紙様式2-3（６月以降分）'!AL246</f>
        <v>0</v>
      </c>
      <c r="AM246" s="1514" t="str">
        <f>IF('別紙様式2-3（６月以降分）'!AM246="","",'別紙様式2-3（６月以降分）'!AM246)</f>
        <v/>
      </c>
      <c r="AN246" s="1333" t="str">
        <f>IF('別紙様式2-3（６月以降分）'!AN246="","",'別紙様式2-3（６月以降分）'!AN246)</f>
        <v/>
      </c>
      <c r="AO246" s="1331" t="str">
        <f>IF('別紙様式2-3（６月以降分）'!AO246="","",'別紙様式2-3（６月以降分）'!AO246)</f>
        <v/>
      </c>
      <c r="AP246" s="1333" t="str">
        <f>IF('別紙様式2-3（６月以降分）'!AP246="","",'別紙様式2-3（６月以降分）'!AP246)</f>
        <v/>
      </c>
      <c r="AQ246" s="1481" t="str">
        <f>IF('別紙様式2-3（６月以降分）'!AQ246="","",'別紙様式2-3（６月以降分）'!AQ246)</f>
        <v/>
      </c>
      <c r="AR246" s="1484" t="str">
        <f>IF('別紙様式2-3（６月以降分）'!AR246="","",'別紙様式2-3（６月以降分）'!AR246)</f>
        <v/>
      </c>
      <c r="AS246" s="570" t="str">
        <f t="shared" ref="AS246" si="399">IF(AU248="","",IF(U248&lt;U246,"！加算の要件上は問題ありませんが、令和６年度当初の新加算の加算率と比較して、移行後の加算率が下がる計画になっています。",""))</f>
        <v/>
      </c>
      <c r="AT246" s="577"/>
      <c r="AU246" s="1301"/>
      <c r="AV246" s="555" t="str">
        <f>IF('別紙様式2-2（４・５月分）'!N188="","",'別紙様式2-2（４・５月分）'!N188)</f>
        <v/>
      </c>
      <c r="AW246" s="1305" t="str">
        <f>IF(SUM('別紙様式2-2（４・５月分）'!O188:O190)=0,"",SUM('別紙様式2-2（４・５月分）'!O188:O190))</f>
        <v/>
      </c>
      <c r="AX246" s="1473" t="str">
        <f>IFERROR(VLOOKUP(K246,【参考】数式用!$AH$2:$AI$34,2,FALSE),"")</f>
        <v/>
      </c>
      <c r="AY246" s="493"/>
      <c r="BD246" s="340"/>
      <c r="BE246" s="1303" t="str">
        <f>G246</f>
        <v/>
      </c>
      <c r="BF246" s="1303"/>
      <c r="BG246" s="1303"/>
    </row>
    <row r="247" spans="1:59" ht="15" customHeight="1">
      <c r="A247" s="1267"/>
      <c r="B247" s="1235"/>
      <c r="C247" s="1236"/>
      <c r="D247" s="1236"/>
      <c r="E247" s="1236"/>
      <c r="F247" s="1237"/>
      <c r="G247" s="1252"/>
      <c r="H247" s="1252"/>
      <c r="I247" s="1252"/>
      <c r="J247" s="1415"/>
      <c r="K247" s="1252"/>
      <c r="L247" s="1421"/>
      <c r="M247" s="1371" t="str">
        <f>IF('別紙様式2-2（４・５月分）'!P189="","",'別紙様式2-2（４・５月分）'!P189)</f>
        <v/>
      </c>
      <c r="N247" s="1392"/>
      <c r="O247" s="1398"/>
      <c r="P247" s="1399"/>
      <c r="Q247" s="1400"/>
      <c r="R247" s="1532"/>
      <c r="S247" s="1404"/>
      <c r="T247" s="1528"/>
      <c r="U247" s="1530"/>
      <c r="V247" s="1410"/>
      <c r="W247" s="1526"/>
      <c r="X247" s="1350"/>
      <c r="Y247" s="1526"/>
      <c r="Z247" s="1350"/>
      <c r="AA247" s="1526"/>
      <c r="AB247" s="1350"/>
      <c r="AC247" s="1526"/>
      <c r="AD247" s="1350"/>
      <c r="AE247" s="1350"/>
      <c r="AF247" s="1350"/>
      <c r="AG247" s="1352"/>
      <c r="AH247" s="1518"/>
      <c r="AI247" s="1520"/>
      <c r="AJ247" s="1522"/>
      <c r="AK247" s="1524"/>
      <c r="AL247" s="1513"/>
      <c r="AM247" s="1515"/>
      <c r="AN247" s="1334"/>
      <c r="AO247" s="1516"/>
      <c r="AP247" s="1334"/>
      <c r="AQ247" s="1482"/>
      <c r="AR247" s="1485"/>
      <c r="AS247" s="1483" t="str">
        <f t="shared" ref="AS247" si="400">IF(AU248="","",IF(OR(AA248="",AA248&lt;&gt;7,AC248="",AC248&lt;&gt;3),"！算定期間の終わりが令和７年３月になっていません。年度内の廃止予定等がなければ、算定対象月を令和７年３月にしてください。",""))</f>
        <v/>
      </c>
      <c r="AT247" s="577"/>
      <c r="AU247" s="1303"/>
      <c r="AV247" s="1304" t="str">
        <f>IF('別紙様式2-2（４・５月分）'!N189="","",'別紙様式2-2（４・５月分）'!N189)</f>
        <v/>
      </c>
      <c r="AW247" s="1305"/>
      <c r="AX247" s="1474"/>
      <c r="AY247" s="430"/>
      <c r="BD247" s="340"/>
      <c r="BE247" s="1303" t="str">
        <f>G246</f>
        <v/>
      </c>
      <c r="BF247" s="1303"/>
      <c r="BG247" s="1303"/>
    </row>
    <row r="248" spans="1:59" ht="15" customHeight="1">
      <c r="A248" s="1295"/>
      <c r="B248" s="1235"/>
      <c r="C248" s="1236"/>
      <c r="D248" s="1236"/>
      <c r="E248" s="1236"/>
      <c r="F248" s="1237"/>
      <c r="G248" s="1252"/>
      <c r="H248" s="1252"/>
      <c r="I248" s="1252"/>
      <c r="J248" s="1415"/>
      <c r="K248" s="1252"/>
      <c r="L248" s="1421"/>
      <c r="M248" s="1372"/>
      <c r="N248" s="1393"/>
      <c r="O248" s="1373" t="s">
        <v>2025</v>
      </c>
      <c r="P248" s="1425" t="str">
        <f>IFERROR(VLOOKUP('別紙様式2-2（４・５月分）'!AQ188,【参考】数式用!$AR$5:$AT$22,3,FALSE),"")</f>
        <v/>
      </c>
      <c r="Q248" s="1377" t="s">
        <v>2036</v>
      </c>
      <c r="R248" s="1508" t="str">
        <f>IFERROR(VLOOKUP(K246,【参考】数式用!$A$5:$AB$37,MATCH(P248,【参考】数式用!$B$4:$AB$4,0)+1,0),"")</f>
        <v/>
      </c>
      <c r="S248" s="1381" t="s">
        <v>2109</v>
      </c>
      <c r="T248" s="1510"/>
      <c r="U248" s="1506" t="str">
        <f>IFERROR(VLOOKUP(K246,【参考】数式用!$A$5:$AB$37,MATCH(T248,【参考】数式用!$B$4:$AB$4,0)+1,0),"")</f>
        <v/>
      </c>
      <c r="V248" s="1387" t="s">
        <v>15</v>
      </c>
      <c r="W248" s="1504"/>
      <c r="X248" s="1363" t="s">
        <v>10</v>
      </c>
      <c r="Y248" s="1504"/>
      <c r="Z248" s="1363" t="s">
        <v>38</v>
      </c>
      <c r="AA248" s="1504"/>
      <c r="AB248" s="1363" t="s">
        <v>10</v>
      </c>
      <c r="AC248" s="1504"/>
      <c r="AD248" s="1363" t="s">
        <v>2020</v>
      </c>
      <c r="AE248" s="1363" t="s">
        <v>20</v>
      </c>
      <c r="AF248" s="1363" t="str">
        <f>IF(W248&gt;=1,(AA248*12+AC248)-(W248*12+Y248)+1,"")</f>
        <v/>
      </c>
      <c r="AG248" s="1359" t="s">
        <v>33</v>
      </c>
      <c r="AH248" s="1365" t="str">
        <f t="shared" ref="AH248" si="401">IFERROR(ROUNDDOWN(ROUND(L246*U248,0),0)*AF248,"")</f>
        <v/>
      </c>
      <c r="AI248" s="1498" t="str">
        <f t="shared" ref="AI248" si="402">IFERROR(ROUNDDOWN(ROUND((L246*(U248-AW246)),0),0)*AF248,"")</f>
        <v/>
      </c>
      <c r="AJ248" s="1369" t="str">
        <f>IFERROR(ROUNDDOWN(ROUNDDOWN(ROUND(L246*VLOOKUP(K246,【参考】数式用!$A$5:$AB$27,MATCH("新加算Ⅳ",【参考】数式用!$B$4:$AB$4,0)+1,0),0),0)*AF248*0.5,0),"")</f>
        <v/>
      </c>
      <c r="AK248" s="1500"/>
      <c r="AL248" s="1502" t="str">
        <f>IFERROR(IF('別紙様式2-2（４・５月分）'!P248="ベア加算","", IF(OR(T248="新加算Ⅰ",T248="新加算Ⅱ",T248="新加算Ⅲ",T248="新加算Ⅳ"),ROUNDDOWN(ROUND(L246*VLOOKUP(K246,【参考】数式用!$A$5:$I$27,MATCH("ベア加算",【参考】数式用!$B$4:$I$4,0)+1,0),0),0)*AF248,"")),"")</f>
        <v/>
      </c>
      <c r="AM248" s="1494"/>
      <c r="AN248" s="1475"/>
      <c r="AO248" s="1496"/>
      <c r="AP248" s="1475"/>
      <c r="AQ248" s="1477"/>
      <c r="AR248" s="1479"/>
      <c r="AS248" s="1483"/>
      <c r="AT248" s="451"/>
      <c r="AU248" s="1303" t="str">
        <f>IF(AND(AA246&lt;&gt;7,AC246&lt;&gt;3),"V列に色付け","")</f>
        <v/>
      </c>
      <c r="AV248" s="1304"/>
      <c r="AW248" s="1305"/>
      <c r="AX248" s="574"/>
      <c r="AY248" s="1222" t="str">
        <f>IF(AL248&lt;&gt;"",IF(AM248="○","入力済","未入力"),"")</f>
        <v/>
      </c>
      <c r="AZ248" s="1222"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2" t="str">
        <f>IF(OR(T248="新加算Ⅴ（７）",T248="新加算Ⅴ（９）",T248="新加算Ⅴ（10）",T248="新加算Ⅴ（12）",T248="新加算Ⅴ（13）",T248="新加算Ⅴ（14）"),IF(OR(AO248="○",AO248="令和６年度中に満たす"),"入力済","未入力"),"")</f>
        <v/>
      </c>
      <c r="BB248" s="1222" t="str">
        <f>IF(OR(T248="新加算Ⅰ",T248="新加算Ⅱ",T248="新加算Ⅲ",T248="新加算Ⅴ（１）",T248="新加算Ⅴ（３）",T248="新加算Ⅴ（８）"),IF(OR(AP248="○",AP248="令和６年度中に満たす"),"入力済","未入力"),"")</f>
        <v/>
      </c>
      <c r="BC248" s="1472"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03" t="str">
        <f>IF(OR(T248="新加算Ⅰ",T248="新加算Ⅴ（１）",T248="新加算Ⅴ（２）",T248="新加算Ⅴ（５）",T248="新加算Ⅴ（７）",T248="新加算Ⅴ（10）"),IF(AR248="","未入力","入力済"),"")</f>
        <v/>
      </c>
      <c r="BE248" s="1303" t="str">
        <f>G246</f>
        <v/>
      </c>
      <c r="BF248" s="1303"/>
      <c r="BG248" s="1303"/>
    </row>
    <row r="249" spans="1:59" ht="30" customHeight="1" thickBot="1">
      <c r="A249" s="1268"/>
      <c r="B249" s="1411"/>
      <c r="C249" s="1412"/>
      <c r="D249" s="1412"/>
      <c r="E249" s="1412"/>
      <c r="F249" s="1413"/>
      <c r="G249" s="1253"/>
      <c r="H249" s="1253"/>
      <c r="I249" s="1253"/>
      <c r="J249" s="1416"/>
      <c r="K249" s="1253"/>
      <c r="L249" s="1422"/>
      <c r="M249" s="553" t="str">
        <f>IF('別紙様式2-2（４・５月分）'!P190="","",'別紙様式2-2（４・５月分）'!P190)</f>
        <v/>
      </c>
      <c r="N249" s="1394"/>
      <c r="O249" s="1374"/>
      <c r="P249" s="1426"/>
      <c r="Q249" s="1378"/>
      <c r="R249" s="1509"/>
      <c r="S249" s="1382"/>
      <c r="T249" s="1511"/>
      <c r="U249" s="1507"/>
      <c r="V249" s="1388"/>
      <c r="W249" s="1505"/>
      <c r="X249" s="1364"/>
      <c r="Y249" s="1505"/>
      <c r="Z249" s="1364"/>
      <c r="AA249" s="1505"/>
      <c r="AB249" s="1364"/>
      <c r="AC249" s="1505"/>
      <c r="AD249" s="1364"/>
      <c r="AE249" s="1364"/>
      <c r="AF249" s="1364"/>
      <c r="AG249" s="1360"/>
      <c r="AH249" s="1366"/>
      <c r="AI249" s="1499"/>
      <c r="AJ249" s="1370"/>
      <c r="AK249" s="1501"/>
      <c r="AL249" s="1503"/>
      <c r="AM249" s="1495"/>
      <c r="AN249" s="1476"/>
      <c r="AO249" s="1497"/>
      <c r="AP249" s="1476"/>
      <c r="AQ249" s="1478"/>
      <c r="AR249" s="1480"/>
      <c r="AS249" s="575"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1"/>
      <c r="AU249" s="1303"/>
      <c r="AV249" s="555" t="str">
        <f>IF('別紙様式2-2（４・５月分）'!N190="","",'別紙様式2-2（４・５月分）'!N190)</f>
        <v/>
      </c>
      <c r="AW249" s="1305"/>
      <c r="AX249" s="576"/>
      <c r="AY249" s="1222" t="str">
        <f>IF(OR(T249="新加算Ⅰ",T249="新加算Ⅱ",T249="新加算Ⅲ",T249="新加算Ⅳ",T249="新加算Ⅴ（１）",T249="新加算Ⅴ（２）",T249="新加算Ⅴ（３）",T249="新加算ⅠⅤ（４）",T249="新加算Ⅴ（５）",T249="新加算Ⅴ（６）",T249="新加算Ⅴ（８）",T249="新加算Ⅴ（11）"),IF(AI249="○","","未入力"),"")</f>
        <v/>
      </c>
      <c r="AZ249" s="1222" t="str">
        <f>IF(OR(U249="新加算Ⅰ",U249="新加算Ⅱ",U249="新加算Ⅲ",U249="新加算Ⅳ",U249="新加算Ⅴ（１）",U249="新加算Ⅴ（２）",U249="新加算Ⅴ（３）",U249="新加算ⅠⅤ（４）",U249="新加算Ⅴ（５）",U249="新加算Ⅴ（６）",U249="新加算Ⅴ（８）",U249="新加算Ⅴ（11）"),IF(AJ249="○","","未入力"),"")</f>
        <v/>
      </c>
      <c r="BA249" s="1222" t="str">
        <f>IF(OR(U249="新加算Ⅴ（７）",U249="新加算Ⅴ（９）",U249="新加算Ⅴ（10）",U249="新加算Ⅴ（12）",U249="新加算Ⅴ（13）",U249="新加算Ⅴ（14）"),IF(AK249="○","","未入力"),"")</f>
        <v/>
      </c>
      <c r="BB249" s="1222" t="str">
        <f>IF(OR(U249="新加算Ⅰ",U249="新加算Ⅱ",U249="新加算Ⅲ",U249="新加算Ⅴ（１）",U249="新加算Ⅴ（３）",U249="新加算Ⅴ（８）"),IF(AL249="○","","未入力"),"")</f>
        <v/>
      </c>
      <c r="BC249" s="1472"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03" t="str">
        <f>IF(AND(T249&lt;&gt;"（参考）令和７年度の移行予定",OR(U249="新加算Ⅰ",U249="新加算Ⅴ（１）",U249="新加算Ⅴ（２）",U249="新加算Ⅴ（５）",U249="新加算Ⅴ（７）",U249="新加算Ⅴ（10）")),IF(AN249="","未入力",IF(AN249="いずれも取得していない","要件を満たさない","")),"")</f>
        <v/>
      </c>
      <c r="BE249" s="1303" t="str">
        <f>G246</f>
        <v/>
      </c>
      <c r="BF249" s="1303"/>
      <c r="BG249" s="1303"/>
    </row>
    <row r="250" spans="1:59" ht="30" customHeight="1">
      <c r="A250" s="1293">
        <v>60</v>
      </c>
      <c r="B250" s="1232" t="str">
        <f>IF(基本情報入力シート!C113="","",基本情報入力シート!C113)</f>
        <v/>
      </c>
      <c r="C250" s="1233"/>
      <c r="D250" s="1233"/>
      <c r="E250" s="1233"/>
      <c r="F250" s="1234"/>
      <c r="G250" s="1251" t="str">
        <f>IF(基本情報入力シート!M113="","",基本情報入力シート!M113)</f>
        <v/>
      </c>
      <c r="H250" s="1251" t="str">
        <f>IF(基本情報入力シート!R113="","",基本情報入力シート!R113)</f>
        <v/>
      </c>
      <c r="I250" s="1251" t="str">
        <f>IF(基本情報入力シート!W113="","",基本情報入力シート!W113)</f>
        <v/>
      </c>
      <c r="J250" s="1414" t="str">
        <f>IF(基本情報入力シート!X113="","",基本情報入力シート!X113)</f>
        <v/>
      </c>
      <c r="K250" s="1251" t="str">
        <f>IF(基本情報入力シート!Y113="","",基本情報入力シート!Y113)</f>
        <v/>
      </c>
      <c r="L250" s="1427" t="str">
        <f>IF(基本情報入力シート!AB113="","",基本情報入力シート!AB113)</f>
        <v/>
      </c>
      <c r="M250" s="550" t="str">
        <f>IF('別紙様式2-2（４・５月分）'!P191="","",'別紙様式2-2（４・５月分）'!P191)</f>
        <v/>
      </c>
      <c r="N250" s="1391" t="str">
        <f>IF(SUM('別紙様式2-2（４・５月分）'!Q191:Q193)=0,"",SUM('別紙様式2-2（４・５月分）'!Q191:Q193))</f>
        <v/>
      </c>
      <c r="O250" s="1395" t="str">
        <f>IFERROR(VLOOKUP('別紙様式2-2（４・５月分）'!AQ191,【参考】数式用!$AR$5:$AS$22,2,FALSE),"")</f>
        <v/>
      </c>
      <c r="P250" s="1396"/>
      <c r="Q250" s="1397"/>
      <c r="R250" s="1531" t="str">
        <f>IFERROR(VLOOKUP(K250,【参考】数式用!$A$5:$AB$37,MATCH(O250,【参考】数式用!$B$4:$AB$4,0)+1,0),"")</f>
        <v/>
      </c>
      <c r="S250" s="1403" t="s">
        <v>2102</v>
      </c>
      <c r="T250" s="1527" t="str">
        <f>IF('別紙様式2-3（６月以降分）'!T250="","",'別紙様式2-3（６月以降分）'!T250)</f>
        <v/>
      </c>
      <c r="U250" s="1529" t="str">
        <f>IFERROR(VLOOKUP(K250,【参考】数式用!$A$5:$AB$37,MATCH(T250,【参考】数式用!$B$4:$AB$4,0)+1,0),"")</f>
        <v/>
      </c>
      <c r="V250" s="1409" t="s">
        <v>15</v>
      </c>
      <c r="W250" s="1525">
        <f>'別紙様式2-3（６月以降分）'!W250</f>
        <v>6</v>
      </c>
      <c r="X250" s="1349" t="s">
        <v>10</v>
      </c>
      <c r="Y250" s="1525">
        <f>'別紙様式2-3（６月以降分）'!Y250</f>
        <v>6</v>
      </c>
      <c r="Z250" s="1349" t="s">
        <v>38</v>
      </c>
      <c r="AA250" s="1525">
        <f>'別紙様式2-3（６月以降分）'!AA250</f>
        <v>7</v>
      </c>
      <c r="AB250" s="1349" t="s">
        <v>10</v>
      </c>
      <c r="AC250" s="1525">
        <f>'別紙様式2-3（６月以降分）'!AC250</f>
        <v>3</v>
      </c>
      <c r="AD250" s="1349" t="s">
        <v>2020</v>
      </c>
      <c r="AE250" s="1349" t="s">
        <v>20</v>
      </c>
      <c r="AF250" s="1349">
        <f>IF(W250&gt;=1,(AA250*12+AC250)-(W250*12+Y250)+1,"")</f>
        <v>10</v>
      </c>
      <c r="AG250" s="1351" t="s">
        <v>33</v>
      </c>
      <c r="AH250" s="1517" t="str">
        <f>'別紙様式2-3（６月以降分）'!AH250</f>
        <v/>
      </c>
      <c r="AI250" s="1519" t="str">
        <f>'別紙様式2-3（６月以降分）'!AI250</f>
        <v/>
      </c>
      <c r="AJ250" s="1521">
        <f>'別紙様式2-3（６月以降分）'!AJ250</f>
        <v>0</v>
      </c>
      <c r="AK250" s="1523" t="str">
        <f>IF('別紙様式2-3（６月以降分）'!AK250="","",'別紙様式2-3（６月以降分）'!AK250)</f>
        <v/>
      </c>
      <c r="AL250" s="1512">
        <f>'別紙様式2-3（６月以降分）'!AL250</f>
        <v>0</v>
      </c>
      <c r="AM250" s="1514" t="str">
        <f>IF('別紙様式2-3（６月以降分）'!AM250="","",'別紙様式2-3（６月以降分）'!AM250)</f>
        <v/>
      </c>
      <c r="AN250" s="1333" t="str">
        <f>IF('別紙様式2-3（６月以降分）'!AN250="","",'別紙様式2-3（６月以降分）'!AN250)</f>
        <v/>
      </c>
      <c r="AO250" s="1331" t="str">
        <f>IF('別紙様式2-3（６月以降分）'!AO250="","",'別紙様式2-3（６月以降分）'!AO250)</f>
        <v/>
      </c>
      <c r="AP250" s="1333" t="str">
        <f>IF('別紙様式2-3（６月以降分）'!AP250="","",'別紙様式2-3（６月以降分）'!AP250)</f>
        <v/>
      </c>
      <c r="AQ250" s="1481" t="str">
        <f>IF('別紙様式2-3（６月以降分）'!AQ250="","",'別紙様式2-3（６月以降分）'!AQ250)</f>
        <v/>
      </c>
      <c r="AR250" s="1484" t="str">
        <f>IF('別紙様式2-3（６月以降分）'!AR250="","",'別紙様式2-3（６月以降分）'!AR250)</f>
        <v/>
      </c>
      <c r="AS250" s="570" t="str">
        <f t="shared" ref="AS250" si="406">IF(AU252="","",IF(U252&lt;U250,"！加算の要件上は問題ありませんが、令和６年度当初の新加算の加算率と比較して、移行後の加算率が下がる計画になっています。",""))</f>
        <v/>
      </c>
      <c r="AT250" s="577"/>
      <c r="AU250" s="1301"/>
      <c r="AV250" s="555" t="str">
        <f>IF('別紙様式2-2（４・５月分）'!N191="","",'別紙様式2-2（４・５月分）'!N191)</f>
        <v/>
      </c>
      <c r="AW250" s="1305" t="str">
        <f>IF(SUM('別紙様式2-2（４・５月分）'!O191:O193)=0,"",SUM('別紙様式2-2（４・５月分）'!O191:O193))</f>
        <v/>
      </c>
      <c r="AX250" s="1473" t="str">
        <f>IFERROR(VLOOKUP(K250,【参考】数式用!$AH$2:$AI$34,2,FALSE),"")</f>
        <v/>
      </c>
      <c r="AY250" s="493"/>
      <c r="BD250" s="340"/>
      <c r="BE250" s="1303" t="str">
        <f>G250</f>
        <v/>
      </c>
      <c r="BF250" s="1303"/>
      <c r="BG250" s="1303"/>
    </row>
    <row r="251" spans="1:59" ht="15" customHeight="1">
      <c r="A251" s="1267"/>
      <c r="B251" s="1235"/>
      <c r="C251" s="1236"/>
      <c r="D251" s="1236"/>
      <c r="E251" s="1236"/>
      <c r="F251" s="1237"/>
      <c r="G251" s="1252"/>
      <c r="H251" s="1252"/>
      <c r="I251" s="1252"/>
      <c r="J251" s="1415"/>
      <c r="K251" s="1252"/>
      <c r="L251" s="1421"/>
      <c r="M251" s="1371" t="str">
        <f>IF('別紙様式2-2（４・５月分）'!P192="","",'別紙様式2-2（４・５月分）'!P192)</f>
        <v/>
      </c>
      <c r="N251" s="1392"/>
      <c r="O251" s="1398"/>
      <c r="P251" s="1399"/>
      <c r="Q251" s="1400"/>
      <c r="R251" s="1532"/>
      <c r="S251" s="1404"/>
      <c r="T251" s="1528"/>
      <c r="U251" s="1530"/>
      <c r="V251" s="1410"/>
      <c r="W251" s="1526"/>
      <c r="X251" s="1350"/>
      <c r="Y251" s="1526"/>
      <c r="Z251" s="1350"/>
      <c r="AA251" s="1526"/>
      <c r="AB251" s="1350"/>
      <c r="AC251" s="1526"/>
      <c r="AD251" s="1350"/>
      <c r="AE251" s="1350"/>
      <c r="AF251" s="1350"/>
      <c r="AG251" s="1352"/>
      <c r="AH251" s="1518"/>
      <c r="AI251" s="1520"/>
      <c r="AJ251" s="1522"/>
      <c r="AK251" s="1524"/>
      <c r="AL251" s="1513"/>
      <c r="AM251" s="1515"/>
      <c r="AN251" s="1334"/>
      <c r="AO251" s="1516"/>
      <c r="AP251" s="1334"/>
      <c r="AQ251" s="1482"/>
      <c r="AR251" s="1485"/>
      <c r="AS251" s="1483" t="str">
        <f t="shared" ref="AS251" si="407">IF(AU252="","",IF(OR(AA252="",AA252&lt;&gt;7,AC252="",AC252&lt;&gt;3),"！算定期間の終わりが令和７年３月になっていません。年度内の廃止予定等がなければ、算定対象月を令和７年３月にしてください。",""))</f>
        <v/>
      </c>
      <c r="AT251" s="577"/>
      <c r="AU251" s="1303"/>
      <c r="AV251" s="1304" t="str">
        <f>IF('別紙様式2-2（４・５月分）'!N192="","",'別紙様式2-2（４・５月分）'!N192)</f>
        <v/>
      </c>
      <c r="AW251" s="1305"/>
      <c r="AX251" s="1474"/>
      <c r="AY251" s="430"/>
      <c r="BD251" s="340"/>
      <c r="BE251" s="1303" t="str">
        <f>G250</f>
        <v/>
      </c>
      <c r="BF251" s="1303"/>
      <c r="BG251" s="1303"/>
    </row>
    <row r="252" spans="1:59" ht="15" customHeight="1">
      <c r="A252" s="1295"/>
      <c r="B252" s="1235"/>
      <c r="C252" s="1236"/>
      <c r="D252" s="1236"/>
      <c r="E252" s="1236"/>
      <c r="F252" s="1237"/>
      <c r="G252" s="1252"/>
      <c r="H252" s="1252"/>
      <c r="I252" s="1252"/>
      <c r="J252" s="1415"/>
      <c r="K252" s="1252"/>
      <c r="L252" s="1421"/>
      <c r="M252" s="1372"/>
      <c r="N252" s="1393"/>
      <c r="O252" s="1373" t="s">
        <v>2025</v>
      </c>
      <c r="P252" s="1425" t="str">
        <f>IFERROR(VLOOKUP('別紙様式2-2（４・５月分）'!AQ191,【参考】数式用!$AR$5:$AT$22,3,FALSE),"")</f>
        <v/>
      </c>
      <c r="Q252" s="1377" t="s">
        <v>2036</v>
      </c>
      <c r="R252" s="1508" t="str">
        <f>IFERROR(VLOOKUP(K250,【参考】数式用!$A$5:$AB$37,MATCH(P252,【参考】数式用!$B$4:$AB$4,0)+1,0),"")</f>
        <v/>
      </c>
      <c r="S252" s="1381" t="s">
        <v>2109</v>
      </c>
      <c r="T252" s="1510"/>
      <c r="U252" s="1506" t="str">
        <f>IFERROR(VLOOKUP(K250,【参考】数式用!$A$5:$AB$37,MATCH(T252,【参考】数式用!$B$4:$AB$4,0)+1,0),"")</f>
        <v/>
      </c>
      <c r="V252" s="1387" t="s">
        <v>15</v>
      </c>
      <c r="W252" s="1504"/>
      <c r="X252" s="1363" t="s">
        <v>10</v>
      </c>
      <c r="Y252" s="1504"/>
      <c r="Z252" s="1363" t="s">
        <v>38</v>
      </c>
      <c r="AA252" s="1504"/>
      <c r="AB252" s="1363" t="s">
        <v>10</v>
      </c>
      <c r="AC252" s="1504"/>
      <c r="AD252" s="1363" t="s">
        <v>2020</v>
      </c>
      <c r="AE252" s="1363" t="s">
        <v>20</v>
      </c>
      <c r="AF252" s="1363" t="str">
        <f>IF(W252&gt;=1,(AA252*12+AC252)-(W252*12+Y252)+1,"")</f>
        <v/>
      </c>
      <c r="AG252" s="1359" t="s">
        <v>33</v>
      </c>
      <c r="AH252" s="1365" t="str">
        <f t="shared" ref="AH252" si="408">IFERROR(ROUNDDOWN(ROUND(L250*U252,0),0)*AF252,"")</f>
        <v/>
      </c>
      <c r="AI252" s="1498" t="str">
        <f t="shared" ref="AI252" si="409">IFERROR(ROUNDDOWN(ROUND((L250*(U252-AW250)),0),0)*AF252,"")</f>
        <v/>
      </c>
      <c r="AJ252" s="1369" t="str">
        <f>IFERROR(ROUNDDOWN(ROUNDDOWN(ROUND(L250*VLOOKUP(K250,【参考】数式用!$A$5:$AB$27,MATCH("新加算Ⅳ",【参考】数式用!$B$4:$AB$4,0)+1,0),0),0)*AF252*0.5,0),"")</f>
        <v/>
      </c>
      <c r="AK252" s="1500"/>
      <c r="AL252" s="1502" t="str">
        <f>IFERROR(IF('別紙様式2-2（４・５月分）'!P252="ベア加算","", IF(OR(T252="新加算Ⅰ",T252="新加算Ⅱ",T252="新加算Ⅲ",T252="新加算Ⅳ"),ROUNDDOWN(ROUND(L250*VLOOKUP(K250,【参考】数式用!$A$5:$I$27,MATCH("ベア加算",【参考】数式用!$B$4:$I$4,0)+1,0),0),0)*AF252,"")),"")</f>
        <v/>
      </c>
      <c r="AM252" s="1494"/>
      <c r="AN252" s="1475"/>
      <c r="AO252" s="1496"/>
      <c r="AP252" s="1475"/>
      <c r="AQ252" s="1477"/>
      <c r="AR252" s="1479"/>
      <c r="AS252" s="1483"/>
      <c r="AT252" s="451"/>
      <c r="AU252" s="1303" t="str">
        <f>IF(AND(AA250&lt;&gt;7,AC250&lt;&gt;3),"V列に色付け","")</f>
        <v/>
      </c>
      <c r="AV252" s="1304"/>
      <c r="AW252" s="1305"/>
      <c r="AX252" s="574"/>
      <c r="AY252" s="1222" t="str">
        <f>IF(AL252&lt;&gt;"",IF(AM252="○","入力済","未入力"),"")</f>
        <v/>
      </c>
      <c r="AZ252" s="1222"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2" t="str">
        <f>IF(OR(T252="新加算Ⅴ（７）",T252="新加算Ⅴ（９）",T252="新加算Ⅴ（10）",T252="新加算Ⅴ（12）",T252="新加算Ⅴ（13）",T252="新加算Ⅴ（14）"),IF(OR(AO252="○",AO252="令和６年度中に満たす"),"入力済","未入力"),"")</f>
        <v/>
      </c>
      <c r="BB252" s="1222" t="str">
        <f>IF(OR(T252="新加算Ⅰ",T252="新加算Ⅱ",T252="新加算Ⅲ",T252="新加算Ⅴ（１）",T252="新加算Ⅴ（３）",T252="新加算Ⅴ（８）"),IF(OR(AP252="○",AP252="令和６年度中に満たす"),"入力済","未入力"),"")</f>
        <v/>
      </c>
      <c r="BC252" s="1472"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03" t="str">
        <f>IF(OR(T252="新加算Ⅰ",T252="新加算Ⅴ（１）",T252="新加算Ⅴ（２）",T252="新加算Ⅴ（５）",T252="新加算Ⅴ（７）",T252="新加算Ⅴ（10）"),IF(AR252="","未入力","入力済"),"")</f>
        <v/>
      </c>
      <c r="BE252" s="1303" t="str">
        <f>G250</f>
        <v/>
      </c>
      <c r="BF252" s="1303"/>
      <c r="BG252" s="1303"/>
    </row>
    <row r="253" spans="1:59" ht="30" customHeight="1" thickBot="1">
      <c r="A253" s="1268"/>
      <c r="B253" s="1411"/>
      <c r="C253" s="1412"/>
      <c r="D253" s="1412"/>
      <c r="E253" s="1412"/>
      <c r="F253" s="1413"/>
      <c r="G253" s="1253"/>
      <c r="H253" s="1253"/>
      <c r="I253" s="1253"/>
      <c r="J253" s="1416"/>
      <c r="K253" s="1253"/>
      <c r="L253" s="1422"/>
      <c r="M253" s="553" t="str">
        <f>IF('別紙様式2-2（４・５月分）'!P193="","",'別紙様式2-2（４・５月分）'!P193)</f>
        <v/>
      </c>
      <c r="N253" s="1394"/>
      <c r="O253" s="1374"/>
      <c r="P253" s="1426"/>
      <c r="Q253" s="1378"/>
      <c r="R253" s="1509"/>
      <c r="S253" s="1382"/>
      <c r="T253" s="1511"/>
      <c r="U253" s="1507"/>
      <c r="V253" s="1388"/>
      <c r="W253" s="1505"/>
      <c r="X253" s="1364"/>
      <c r="Y253" s="1505"/>
      <c r="Z253" s="1364"/>
      <c r="AA253" s="1505"/>
      <c r="AB253" s="1364"/>
      <c r="AC253" s="1505"/>
      <c r="AD253" s="1364"/>
      <c r="AE253" s="1364"/>
      <c r="AF253" s="1364"/>
      <c r="AG253" s="1360"/>
      <c r="AH253" s="1366"/>
      <c r="AI253" s="1499"/>
      <c r="AJ253" s="1370"/>
      <c r="AK253" s="1501"/>
      <c r="AL253" s="1503"/>
      <c r="AM253" s="1495"/>
      <c r="AN253" s="1476"/>
      <c r="AO253" s="1497"/>
      <c r="AP253" s="1476"/>
      <c r="AQ253" s="1478"/>
      <c r="AR253" s="1480"/>
      <c r="AS253" s="575"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1"/>
      <c r="AU253" s="1303"/>
      <c r="AV253" s="555" t="str">
        <f>IF('別紙様式2-2（４・５月分）'!N193="","",'別紙様式2-2（４・５月分）'!N193)</f>
        <v/>
      </c>
      <c r="AW253" s="1305"/>
      <c r="AX253" s="576"/>
      <c r="AY253" s="1222" t="str">
        <f>IF(OR(T253="新加算Ⅰ",T253="新加算Ⅱ",T253="新加算Ⅲ",T253="新加算Ⅳ",T253="新加算Ⅴ（１）",T253="新加算Ⅴ（２）",T253="新加算Ⅴ（３）",T253="新加算ⅠⅤ（４）",T253="新加算Ⅴ（５）",T253="新加算Ⅴ（６）",T253="新加算Ⅴ（８）",T253="新加算Ⅴ（11）"),IF(AI253="○","","未入力"),"")</f>
        <v/>
      </c>
      <c r="AZ253" s="1222" t="str">
        <f>IF(OR(U253="新加算Ⅰ",U253="新加算Ⅱ",U253="新加算Ⅲ",U253="新加算Ⅳ",U253="新加算Ⅴ（１）",U253="新加算Ⅴ（２）",U253="新加算Ⅴ（３）",U253="新加算ⅠⅤ（４）",U253="新加算Ⅴ（５）",U253="新加算Ⅴ（６）",U253="新加算Ⅴ（８）",U253="新加算Ⅴ（11）"),IF(AJ253="○","","未入力"),"")</f>
        <v/>
      </c>
      <c r="BA253" s="1222" t="str">
        <f>IF(OR(U253="新加算Ⅴ（７）",U253="新加算Ⅴ（９）",U253="新加算Ⅴ（10）",U253="新加算Ⅴ（12）",U253="新加算Ⅴ（13）",U253="新加算Ⅴ（14）"),IF(AK253="○","","未入力"),"")</f>
        <v/>
      </c>
      <c r="BB253" s="1222" t="str">
        <f>IF(OR(U253="新加算Ⅰ",U253="新加算Ⅱ",U253="新加算Ⅲ",U253="新加算Ⅴ（１）",U253="新加算Ⅴ（３）",U253="新加算Ⅴ（８）"),IF(AL253="○","","未入力"),"")</f>
        <v/>
      </c>
      <c r="BC253" s="1472"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03" t="str">
        <f>IF(AND(T253&lt;&gt;"（参考）令和７年度の移行予定",OR(U253="新加算Ⅰ",U253="新加算Ⅴ（１）",U253="新加算Ⅴ（２）",U253="新加算Ⅴ（５）",U253="新加算Ⅴ（７）",U253="新加算Ⅴ（10）")),IF(AN253="","未入力",IF(AN253="いずれも取得していない","要件を満たさない","")),"")</f>
        <v/>
      </c>
      <c r="BE253" s="1303" t="str">
        <f>G250</f>
        <v/>
      </c>
      <c r="BF253" s="1303"/>
      <c r="BG253" s="1303"/>
    </row>
    <row r="254" spans="1:59" ht="30" customHeight="1">
      <c r="A254" s="1266">
        <v>61</v>
      </c>
      <c r="B254" s="1235" t="str">
        <f>IF(基本情報入力シート!C114="","",基本情報入力シート!C114)</f>
        <v/>
      </c>
      <c r="C254" s="1236"/>
      <c r="D254" s="1236"/>
      <c r="E254" s="1236"/>
      <c r="F254" s="1237"/>
      <c r="G254" s="1252" t="str">
        <f>IF(基本情報入力シート!M114="","",基本情報入力シート!M114)</f>
        <v/>
      </c>
      <c r="H254" s="1252" t="str">
        <f>IF(基本情報入力シート!R114="","",基本情報入力シート!R114)</f>
        <v/>
      </c>
      <c r="I254" s="1252" t="str">
        <f>IF(基本情報入力シート!W114="","",基本情報入力シート!W114)</f>
        <v/>
      </c>
      <c r="J254" s="1415" t="str">
        <f>IF(基本情報入力シート!X114="","",基本情報入力シート!X114)</f>
        <v/>
      </c>
      <c r="K254" s="1252" t="str">
        <f>IF(基本情報入力シート!Y114="","",基本情報入力シート!Y114)</f>
        <v/>
      </c>
      <c r="L254" s="1421" t="str">
        <f>IF(基本情報入力シート!AB114="","",基本情報入力シート!AB114)</f>
        <v/>
      </c>
      <c r="M254" s="550" t="str">
        <f>IF('別紙様式2-2（４・５月分）'!P194="","",'別紙様式2-2（４・５月分）'!P194)</f>
        <v/>
      </c>
      <c r="N254" s="1391" t="str">
        <f>IF(SUM('別紙様式2-2（４・５月分）'!Q194:Q196)=0,"",SUM('別紙様式2-2（４・５月分）'!Q194:Q196))</f>
        <v/>
      </c>
      <c r="O254" s="1395" t="str">
        <f>IFERROR(VLOOKUP('別紙様式2-2（４・５月分）'!AQ194,【参考】数式用!$AR$5:$AS$22,2,FALSE),"")</f>
        <v/>
      </c>
      <c r="P254" s="1396"/>
      <c r="Q254" s="1397"/>
      <c r="R254" s="1531" t="str">
        <f>IFERROR(VLOOKUP(K254,【参考】数式用!$A$5:$AB$37,MATCH(O254,【参考】数式用!$B$4:$AB$4,0)+1,0),"")</f>
        <v/>
      </c>
      <c r="S254" s="1403" t="s">
        <v>2102</v>
      </c>
      <c r="T254" s="1527" t="str">
        <f>IF('別紙様式2-3（６月以降分）'!T254="","",'別紙様式2-3（６月以降分）'!T254)</f>
        <v/>
      </c>
      <c r="U254" s="1529" t="str">
        <f>IFERROR(VLOOKUP(K254,【参考】数式用!$A$5:$AB$37,MATCH(T254,【参考】数式用!$B$4:$AB$4,0)+1,0),"")</f>
        <v/>
      </c>
      <c r="V254" s="1409" t="s">
        <v>15</v>
      </c>
      <c r="W254" s="1525">
        <f>'別紙様式2-3（６月以降分）'!W254</f>
        <v>6</v>
      </c>
      <c r="X254" s="1349" t="s">
        <v>10</v>
      </c>
      <c r="Y254" s="1525">
        <f>'別紙様式2-3（６月以降分）'!Y254</f>
        <v>6</v>
      </c>
      <c r="Z254" s="1349" t="s">
        <v>38</v>
      </c>
      <c r="AA254" s="1525">
        <f>'別紙様式2-3（６月以降分）'!AA254</f>
        <v>7</v>
      </c>
      <c r="AB254" s="1349" t="s">
        <v>10</v>
      </c>
      <c r="AC254" s="1525">
        <f>'別紙様式2-3（６月以降分）'!AC254</f>
        <v>3</v>
      </c>
      <c r="AD254" s="1349" t="s">
        <v>2020</v>
      </c>
      <c r="AE254" s="1349" t="s">
        <v>20</v>
      </c>
      <c r="AF254" s="1349">
        <f>IF(W254&gt;=1,(AA254*12+AC254)-(W254*12+Y254)+1,"")</f>
        <v>10</v>
      </c>
      <c r="AG254" s="1351" t="s">
        <v>33</v>
      </c>
      <c r="AH254" s="1517" t="str">
        <f>'別紙様式2-3（６月以降分）'!AH254</f>
        <v/>
      </c>
      <c r="AI254" s="1519" t="str">
        <f>'別紙様式2-3（６月以降分）'!AI254</f>
        <v/>
      </c>
      <c r="AJ254" s="1521">
        <f>'別紙様式2-3（６月以降分）'!AJ254</f>
        <v>0</v>
      </c>
      <c r="AK254" s="1523" t="str">
        <f>IF('別紙様式2-3（６月以降分）'!AK254="","",'別紙様式2-3（６月以降分）'!AK254)</f>
        <v/>
      </c>
      <c r="AL254" s="1512">
        <f>'別紙様式2-3（６月以降分）'!AL254</f>
        <v>0</v>
      </c>
      <c r="AM254" s="1514" t="str">
        <f>IF('別紙様式2-3（６月以降分）'!AM254="","",'別紙様式2-3（６月以降分）'!AM254)</f>
        <v/>
      </c>
      <c r="AN254" s="1333" t="str">
        <f>IF('別紙様式2-3（６月以降分）'!AN254="","",'別紙様式2-3（６月以降分）'!AN254)</f>
        <v/>
      </c>
      <c r="AO254" s="1331" t="str">
        <f>IF('別紙様式2-3（６月以降分）'!AO254="","",'別紙様式2-3（６月以降分）'!AO254)</f>
        <v/>
      </c>
      <c r="AP254" s="1333" t="str">
        <f>IF('別紙様式2-3（６月以降分）'!AP254="","",'別紙様式2-3（６月以降分）'!AP254)</f>
        <v/>
      </c>
      <c r="AQ254" s="1481" t="str">
        <f>IF('別紙様式2-3（６月以降分）'!AQ254="","",'別紙様式2-3（６月以降分）'!AQ254)</f>
        <v/>
      </c>
      <c r="AR254" s="1484" t="str">
        <f>IF('別紙様式2-3（６月以降分）'!AR254="","",'別紙様式2-3（６月以降分）'!AR254)</f>
        <v/>
      </c>
      <c r="AS254" s="570" t="str">
        <f t="shared" ref="AS254" si="413">IF(AU256="","",IF(U256&lt;U254,"！加算の要件上は問題ありませんが、令和６年度当初の新加算の加算率と比較して、移行後の加算率が下がる計画になっています。",""))</f>
        <v/>
      </c>
      <c r="AT254" s="577"/>
      <c r="AU254" s="1301"/>
      <c r="AV254" s="555" t="str">
        <f>IF('別紙様式2-2（４・５月分）'!N194="","",'別紙様式2-2（４・５月分）'!N194)</f>
        <v/>
      </c>
      <c r="AW254" s="1305" t="str">
        <f>IF(SUM('別紙様式2-2（４・５月分）'!O194:O196)=0,"",SUM('別紙様式2-2（４・５月分）'!O194:O196))</f>
        <v/>
      </c>
      <c r="AX254" s="1473" t="str">
        <f>IFERROR(VLOOKUP(K254,【参考】数式用!$AH$2:$AI$34,2,FALSE),"")</f>
        <v/>
      </c>
      <c r="AY254" s="493"/>
      <c r="BD254" s="340"/>
      <c r="BE254" s="1303" t="str">
        <f>G254</f>
        <v/>
      </c>
      <c r="BF254" s="1303"/>
      <c r="BG254" s="1303"/>
    </row>
    <row r="255" spans="1:59" ht="15" customHeight="1">
      <c r="A255" s="1267"/>
      <c r="B255" s="1235"/>
      <c r="C255" s="1236"/>
      <c r="D255" s="1236"/>
      <c r="E255" s="1236"/>
      <c r="F255" s="1237"/>
      <c r="G255" s="1252"/>
      <c r="H255" s="1252"/>
      <c r="I255" s="1252"/>
      <c r="J255" s="1415"/>
      <c r="K255" s="1252"/>
      <c r="L255" s="1421"/>
      <c r="M255" s="1371" t="str">
        <f>IF('別紙様式2-2（４・５月分）'!P195="","",'別紙様式2-2（４・５月分）'!P195)</f>
        <v/>
      </c>
      <c r="N255" s="1392"/>
      <c r="O255" s="1398"/>
      <c r="P255" s="1399"/>
      <c r="Q255" s="1400"/>
      <c r="R255" s="1532"/>
      <c r="S255" s="1404"/>
      <c r="T255" s="1528"/>
      <c r="U255" s="1530"/>
      <c r="V255" s="1410"/>
      <c r="W255" s="1526"/>
      <c r="X255" s="1350"/>
      <c r="Y255" s="1526"/>
      <c r="Z255" s="1350"/>
      <c r="AA255" s="1526"/>
      <c r="AB255" s="1350"/>
      <c r="AC255" s="1526"/>
      <c r="AD255" s="1350"/>
      <c r="AE255" s="1350"/>
      <c r="AF255" s="1350"/>
      <c r="AG255" s="1352"/>
      <c r="AH255" s="1518"/>
      <c r="AI255" s="1520"/>
      <c r="AJ255" s="1522"/>
      <c r="AK255" s="1524"/>
      <c r="AL255" s="1513"/>
      <c r="AM255" s="1515"/>
      <c r="AN255" s="1334"/>
      <c r="AO255" s="1516"/>
      <c r="AP255" s="1334"/>
      <c r="AQ255" s="1482"/>
      <c r="AR255" s="1485"/>
      <c r="AS255" s="1483" t="str">
        <f t="shared" ref="AS255" si="414">IF(AU256="","",IF(OR(AA256="",AA256&lt;&gt;7,AC256="",AC256&lt;&gt;3),"！算定期間の終わりが令和７年３月になっていません。年度内の廃止予定等がなければ、算定対象月を令和７年３月にしてください。",""))</f>
        <v/>
      </c>
      <c r="AT255" s="577"/>
      <c r="AU255" s="1303"/>
      <c r="AV255" s="1304" t="str">
        <f>IF('別紙様式2-2（４・５月分）'!N195="","",'別紙様式2-2（４・５月分）'!N195)</f>
        <v/>
      </c>
      <c r="AW255" s="1305"/>
      <c r="AX255" s="1474"/>
      <c r="AY255" s="430"/>
      <c r="BD255" s="340"/>
      <c r="BE255" s="1303" t="str">
        <f>G254</f>
        <v/>
      </c>
      <c r="BF255" s="1303"/>
      <c r="BG255" s="1303"/>
    </row>
    <row r="256" spans="1:59" ht="15" customHeight="1">
      <c r="A256" s="1295"/>
      <c r="B256" s="1235"/>
      <c r="C256" s="1236"/>
      <c r="D256" s="1236"/>
      <c r="E256" s="1236"/>
      <c r="F256" s="1237"/>
      <c r="G256" s="1252"/>
      <c r="H256" s="1252"/>
      <c r="I256" s="1252"/>
      <c r="J256" s="1415"/>
      <c r="K256" s="1252"/>
      <c r="L256" s="1421"/>
      <c r="M256" s="1372"/>
      <c r="N256" s="1393"/>
      <c r="O256" s="1373" t="s">
        <v>2025</v>
      </c>
      <c r="P256" s="1425" t="str">
        <f>IFERROR(VLOOKUP('別紙様式2-2（４・５月分）'!AQ194,【参考】数式用!$AR$5:$AT$22,3,FALSE),"")</f>
        <v/>
      </c>
      <c r="Q256" s="1377" t="s">
        <v>2036</v>
      </c>
      <c r="R256" s="1508" t="str">
        <f>IFERROR(VLOOKUP(K254,【参考】数式用!$A$5:$AB$37,MATCH(P256,【参考】数式用!$B$4:$AB$4,0)+1,0),"")</f>
        <v/>
      </c>
      <c r="S256" s="1381" t="s">
        <v>2109</v>
      </c>
      <c r="T256" s="1510"/>
      <c r="U256" s="1506" t="str">
        <f>IFERROR(VLOOKUP(K254,【参考】数式用!$A$5:$AB$37,MATCH(T256,【参考】数式用!$B$4:$AB$4,0)+1,0),"")</f>
        <v/>
      </c>
      <c r="V256" s="1387" t="s">
        <v>15</v>
      </c>
      <c r="W256" s="1504"/>
      <c r="X256" s="1363" t="s">
        <v>10</v>
      </c>
      <c r="Y256" s="1504"/>
      <c r="Z256" s="1363" t="s">
        <v>38</v>
      </c>
      <c r="AA256" s="1504"/>
      <c r="AB256" s="1363" t="s">
        <v>10</v>
      </c>
      <c r="AC256" s="1504"/>
      <c r="AD256" s="1363" t="s">
        <v>2020</v>
      </c>
      <c r="AE256" s="1363" t="s">
        <v>20</v>
      </c>
      <c r="AF256" s="1363" t="str">
        <f>IF(W256&gt;=1,(AA256*12+AC256)-(W256*12+Y256)+1,"")</f>
        <v/>
      </c>
      <c r="AG256" s="1359" t="s">
        <v>33</v>
      </c>
      <c r="AH256" s="1365" t="str">
        <f t="shared" ref="AH256" si="415">IFERROR(ROUNDDOWN(ROUND(L254*U256,0),0)*AF256,"")</f>
        <v/>
      </c>
      <c r="AI256" s="1498" t="str">
        <f t="shared" ref="AI256" si="416">IFERROR(ROUNDDOWN(ROUND((L254*(U256-AW254)),0),0)*AF256,"")</f>
        <v/>
      </c>
      <c r="AJ256" s="1369" t="str">
        <f>IFERROR(ROUNDDOWN(ROUNDDOWN(ROUND(L254*VLOOKUP(K254,【参考】数式用!$A$5:$AB$27,MATCH("新加算Ⅳ",【参考】数式用!$B$4:$AB$4,0)+1,0),0),0)*AF256*0.5,0),"")</f>
        <v/>
      </c>
      <c r="AK256" s="1500"/>
      <c r="AL256" s="1502" t="str">
        <f>IFERROR(IF('別紙様式2-2（４・５月分）'!P256="ベア加算","", IF(OR(T256="新加算Ⅰ",T256="新加算Ⅱ",T256="新加算Ⅲ",T256="新加算Ⅳ"),ROUNDDOWN(ROUND(L254*VLOOKUP(K254,【参考】数式用!$A$5:$I$27,MATCH("ベア加算",【参考】数式用!$B$4:$I$4,0)+1,0),0),0)*AF256,"")),"")</f>
        <v/>
      </c>
      <c r="AM256" s="1494"/>
      <c r="AN256" s="1475"/>
      <c r="AO256" s="1496"/>
      <c r="AP256" s="1475"/>
      <c r="AQ256" s="1477"/>
      <c r="AR256" s="1479"/>
      <c r="AS256" s="1483"/>
      <c r="AT256" s="451"/>
      <c r="AU256" s="1303" t="str">
        <f>IF(AND(AA254&lt;&gt;7,AC254&lt;&gt;3),"V列に色付け","")</f>
        <v/>
      </c>
      <c r="AV256" s="1304"/>
      <c r="AW256" s="1305"/>
      <c r="AX256" s="574"/>
      <c r="AY256" s="1222" t="str">
        <f>IF(AL256&lt;&gt;"",IF(AM256="○","入力済","未入力"),"")</f>
        <v/>
      </c>
      <c r="AZ256" s="1222"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2" t="str">
        <f>IF(OR(T256="新加算Ⅴ（７）",T256="新加算Ⅴ（９）",T256="新加算Ⅴ（10）",T256="新加算Ⅴ（12）",T256="新加算Ⅴ（13）",T256="新加算Ⅴ（14）"),IF(OR(AO256="○",AO256="令和６年度中に満たす"),"入力済","未入力"),"")</f>
        <v/>
      </c>
      <c r="BB256" s="1222" t="str">
        <f>IF(OR(T256="新加算Ⅰ",T256="新加算Ⅱ",T256="新加算Ⅲ",T256="新加算Ⅴ（１）",T256="新加算Ⅴ（３）",T256="新加算Ⅴ（８）"),IF(OR(AP256="○",AP256="令和６年度中に満たす"),"入力済","未入力"),"")</f>
        <v/>
      </c>
      <c r="BC256" s="1472"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03" t="str">
        <f>IF(OR(T256="新加算Ⅰ",T256="新加算Ⅴ（１）",T256="新加算Ⅴ（２）",T256="新加算Ⅴ（５）",T256="新加算Ⅴ（７）",T256="新加算Ⅴ（10）"),IF(AR256="","未入力","入力済"),"")</f>
        <v/>
      </c>
      <c r="BE256" s="1303" t="str">
        <f>G254</f>
        <v/>
      </c>
      <c r="BF256" s="1303"/>
      <c r="BG256" s="1303"/>
    </row>
    <row r="257" spans="1:59" ht="30" customHeight="1" thickBot="1">
      <c r="A257" s="1268"/>
      <c r="B257" s="1411"/>
      <c r="C257" s="1412"/>
      <c r="D257" s="1412"/>
      <c r="E257" s="1412"/>
      <c r="F257" s="1413"/>
      <c r="G257" s="1253"/>
      <c r="H257" s="1253"/>
      <c r="I257" s="1253"/>
      <c r="J257" s="1416"/>
      <c r="K257" s="1253"/>
      <c r="L257" s="1422"/>
      <c r="M257" s="553" t="str">
        <f>IF('別紙様式2-2（４・５月分）'!P196="","",'別紙様式2-2（４・５月分）'!P196)</f>
        <v/>
      </c>
      <c r="N257" s="1394"/>
      <c r="O257" s="1374"/>
      <c r="P257" s="1426"/>
      <c r="Q257" s="1378"/>
      <c r="R257" s="1509"/>
      <c r="S257" s="1382"/>
      <c r="T257" s="1511"/>
      <c r="U257" s="1507"/>
      <c r="V257" s="1388"/>
      <c r="W257" s="1505"/>
      <c r="X257" s="1364"/>
      <c r="Y257" s="1505"/>
      <c r="Z257" s="1364"/>
      <c r="AA257" s="1505"/>
      <c r="AB257" s="1364"/>
      <c r="AC257" s="1505"/>
      <c r="AD257" s="1364"/>
      <c r="AE257" s="1364"/>
      <c r="AF257" s="1364"/>
      <c r="AG257" s="1360"/>
      <c r="AH257" s="1366"/>
      <c r="AI257" s="1499"/>
      <c r="AJ257" s="1370"/>
      <c r="AK257" s="1501"/>
      <c r="AL257" s="1503"/>
      <c r="AM257" s="1495"/>
      <c r="AN257" s="1476"/>
      <c r="AO257" s="1497"/>
      <c r="AP257" s="1476"/>
      <c r="AQ257" s="1478"/>
      <c r="AR257" s="1480"/>
      <c r="AS257" s="575"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1"/>
      <c r="AU257" s="1303"/>
      <c r="AV257" s="555" t="str">
        <f>IF('別紙様式2-2（４・５月分）'!N196="","",'別紙様式2-2（４・５月分）'!N196)</f>
        <v/>
      </c>
      <c r="AW257" s="1305"/>
      <c r="AX257" s="576"/>
      <c r="AY257" s="1222" t="str">
        <f>IF(OR(T257="新加算Ⅰ",T257="新加算Ⅱ",T257="新加算Ⅲ",T257="新加算Ⅳ",T257="新加算Ⅴ（１）",T257="新加算Ⅴ（２）",T257="新加算Ⅴ（３）",T257="新加算ⅠⅤ（４）",T257="新加算Ⅴ（５）",T257="新加算Ⅴ（６）",T257="新加算Ⅴ（８）",T257="新加算Ⅴ（11）"),IF(AI257="○","","未入力"),"")</f>
        <v/>
      </c>
      <c r="AZ257" s="1222" t="str">
        <f>IF(OR(U257="新加算Ⅰ",U257="新加算Ⅱ",U257="新加算Ⅲ",U257="新加算Ⅳ",U257="新加算Ⅴ（１）",U257="新加算Ⅴ（２）",U257="新加算Ⅴ（３）",U257="新加算ⅠⅤ（４）",U257="新加算Ⅴ（５）",U257="新加算Ⅴ（６）",U257="新加算Ⅴ（８）",U257="新加算Ⅴ（11）"),IF(AJ257="○","","未入力"),"")</f>
        <v/>
      </c>
      <c r="BA257" s="1222" t="str">
        <f>IF(OR(U257="新加算Ⅴ（７）",U257="新加算Ⅴ（９）",U257="新加算Ⅴ（10）",U257="新加算Ⅴ（12）",U257="新加算Ⅴ（13）",U257="新加算Ⅴ（14）"),IF(AK257="○","","未入力"),"")</f>
        <v/>
      </c>
      <c r="BB257" s="1222" t="str">
        <f>IF(OR(U257="新加算Ⅰ",U257="新加算Ⅱ",U257="新加算Ⅲ",U257="新加算Ⅴ（１）",U257="新加算Ⅴ（３）",U257="新加算Ⅴ（８）"),IF(AL257="○","","未入力"),"")</f>
        <v/>
      </c>
      <c r="BC257" s="1472"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03" t="str">
        <f>IF(AND(T257&lt;&gt;"（参考）令和７年度の移行予定",OR(U257="新加算Ⅰ",U257="新加算Ⅴ（１）",U257="新加算Ⅴ（２）",U257="新加算Ⅴ（５）",U257="新加算Ⅴ（７）",U257="新加算Ⅴ（10）")),IF(AN257="","未入力",IF(AN257="いずれも取得していない","要件を満たさない","")),"")</f>
        <v/>
      </c>
      <c r="BE257" s="1303" t="str">
        <f>G254</f>
        <v/>
      </c>
      <c r="BF257" s="1303"/>
      <c r="BG257" s="1303"/>
    </row>
    <row r="258" spans="1:59" ht="30" customHeight="1">
      <c r="A258" s="1293">
        <v>62</v>
      </c>
      <c r="B258" s="1232" t="str">
        <f>IF(基本情報入力シート!C115="","",基本情報入力シート!C115)</f>
        <v/>
      </c>
      <c r="C258" s="1233"/>
      <c r="D258" s="1233"/>
      <c r="E258" s="1233"/>
      <c r="F258" s="1234"/>
      <c r="G258" s="1251" t="str">
        <f>IF(基本情報入力シート!M115="","",基本情報入力シート!M115)</f>
        <v/>
      </c>
      <c r="H258" s="1251" t="str">
        <f>IF(基本情報入力シート!R115="","",基本情報入力シート!R115)</f>
        <v/>
      </c>
      <c r="I258" s="1251" t="str">
        <f>IF(基本情報入力シート!W115="","",基本情報入力シート!W115)</f>
        <v/>
      </c>
      <c r="J258" s="1414" t="str">
        <f>IF(基本情報入力シート!X115="","",基本情報入力シート!X115)</f>
        <v/>
      </c>
      <c r="K258" s="1251" t="str">
        <f>IF(基本情報入力シート!Y115="","",基本情報入力シート!Y115)</f>
        <v/>
      </c>
      <c r="L258" s="1427" t="str">
        <f>IF(基本情報入力シート!AB115="","",基本情報入力シート!AB115)</f>
        <v/>
      </c>
      <c r="M258" s="550" t="str">
        <f>IF('別紙様式2-2（４・５月分）'!P197="","",'別紙様式2-2（４・５月分）'!P197)</f>
        <v/>
      </c>
      <c r="N258" s="1391" t="str">
        <f>IF(SUM('別紙様式2-2（４・５月分）'!Q197:Q199)=0,"",SUM('別紙様式2-2（４・５月分）'!Q197:Q199))</f>
        <v/>
      </c>
      <c r="O258" s="1395" t="str">
        <f>IFERROR(VLOOKUP('別紙様式2-2（４・５月分）'!AQ197,【参考】数式用!$AR$5:$AS$22,2,FALSE),"")</f>
        <v/>
      </c>
      <c r="P258" s="1396"/>
      <c r="Q258" s="1397"/>
      <c r="R258" s="1531" t="str">
        <f>IFERROR(VLOOKUP(K258,【参考】数式用!$A$5:$AB$37,MATCH(O258,【参考】数式用!$B$4:$AB$4,0)+1,0),"")</f>
        <v/>
      </c>
      <c r="S258" s="1403" t="s">
        <v>2102</v>
      </c>
      <c r="T258" s="1527" t="str">
        <f>IF('別紙様式2-3（６月以降分）'!T258="","",'別紙様式2-3（６月以降分）'!T258)</f>
        <v/>
      </c>
      <c r="U258" s="1529" t="str">
        <f>IFERROR(VLOOKUP(K258,【参考】数式用!$A$5:$AB$37,MATCH(T258,【参考】数式用!$B$4:$AB$4,0)+1,0),"")</f>
        <v/>
      </c>
      <c r="V258" s="1409" t="s">
        <v>15</v>
      </c>
      <c r="W258" s="1525">
        <f>'別紙様式2-3（６月以降分）'!W258</f>
        <v>6</v>
      </c>
      <c r="X258" s="1349" t="s">
        <v>10</v>
      </c>
      <c r="Y258" s="1525">
        <f>'別紙様式2-3（６月以降分）'!Y258</f>
        <v>6</v>
      </c>
      <c r="Z258" s="1349" t="s">
        <v>38</v>
      </c>
      <c r="AA258" s="1525">
        <f>'別紙様式2-3（６月以降分）'!AA258</f>
        <v>7</v>
      </c>
      <c r="AB258" s="1349" t="s">
        <v>10</v>
      </c>
      <c r="AC258" s="1525">
        <f>'別紙様式2-3（６月以降分）'!AC258</f>
        <v>3</v>
      </c>
      <c r="AD258" s="1349" t="s">
        <v>2020</v>
      </c>
      <c r="AE258" s="1349" t="s">
        <v>20</v>
      </c>
      <c r="AF258" s="1349">
        <f>IF(W258&gt;=1,(AA258*12+AC258)-(W258*12+Y258)+1,"")</f>
        <v>10</v>
      </c>
      <c r="AG258" s="1351" t="s">
        <v>33</v>
      </c>
      <c r="AH258" s="1517" t="str">
        <f>'別紙様式2-3（６月以降分）'!AH258</f>
        <v/>
      </c>
      <c r="AI258" s="1519" t="str">
        <f>'別紙様式2-3（６月以降分）'!AI258</f>
        <v/>
      </c>
      <c r="AJ258" s="1521">
        <f>'別紙様式2-3（６月以降分）'!AJ258</f>
        <v>0</v>
      </c>
      <c r="AK258" s="1523" t="str">
        <f>IF('別紙様式2-3（６月以降分）'!AK258="","",'別紙様式2-3（６月以降分）'!AK258)</f>
        <v/>
      </c>
      <c r="AL258" s="1512">
        <f>'別紙様式2-3（６月以降分）'!AL258</f>
        <v>0</v>
      </c>
      <c r="AM258" s="1514" t="str">
        <f>IF('別紙様式2-3（６月以降分）'!AM258="","",'別紙様式2-3（６月以降分）'!AM258)</f>
        <v/>
      </c>
      <c r="AN258" s="1333" t="str">
        <f>IF('別紙様式2-3（６月以降分）'!AN258="","",'別紙様式2-3（６月以降分）'!AN258)</f>
        <v/>
      </c>
      <c r="AO258" s="1331" t="str">
        <f>IF('別紙様式2-3（６月以降分）'!AO258="","",'別紙様式2-3（６月以降分）'!AO258)</f>
        <v/>
      </c>
      <c r="AP258" s="1333" t="str">
        <f>IF('別紙様式2-3（６月以降分）'!AP258="","",'別紙様式2-3（６月以降分）'!AP258)</f>
        <v/>
      </c>
      <c r="AQ258" s="1481" t="str">
        <f>IF('別紙様式2-3（６月以降分）'!AQ258="","",'別紙様式2-3（６月以降分）'!AQ258)</f>
        <v/>
      </c>
      <c r="AR258" s="1484" t="str">
        <f>IF('別紙様式2-3（６月以降分）'!AR258="","",'別紙様式2-3（６月以降分）'!AR258)</f>
        <v/>
      </c>
      <c r="AS258" s="570" t="str">
        <f t="shared" ref="AS258" si="420">IF(AU260="","",IF(U260&lt;U258,"！加算の要件上は問題ありませんが、令和６年度当初の新加算の加算率と比較して、移行後の加算率が下がる計画になっています。",""))</f>
        <v/>
      </c>
      <c r="AT258" s="577"/>
      <c r="AU258" s="1301"/>
      <c r="AV258" s="555" t="str">
        <f>IF('別紙様式2-2（４・５月分）'!N197="","",'別紙様式2-2（４・５月分）'!N197)</f>
        <v/>
      </c>
      <c r="AW258" s="1305" t="str">
        <f>IF(SUM('別紙様式2-2（４・５月分）'!O197:O199)=0,"",SUM('別紙様式2-2（４・５月分）'!O197:O199))</f>
        <v/>
      </c>
      <c r="AX258" s="1473" t="str">
        <f>IFERROR(VLOOKUP(K258,【参考】数式用!$AH$2:$AI$34,2,FALSE),"")</f>
        <v/>
      </c>
      <c r="AY258" s="493"/>
      <c r="BD258" s="340"/>
      <c r="BE258" s="1303" t="str">
        <f>G258</f>
        <v/>
      </c>
      <c r="BF258" s="1303"/>
      <c r="BG258" s="1303"/>
    </row>
    <row r="259" spans="1:59" ht="15" customHeight="1">
      <c r="A259" s="1267"/>
      <c r="B259" s="1235"/>
      <c r="C259" s="1236"/>
      <c r="D259" s="1236"/>
      <c r="E259" s="1236"/>
      <c r="F259" s="1237"/>
      <c r="G259" s="1252"/>
      <c r="H259" s="1252"/>
      <c r="I259" s="1252"/>
      <c r="J259" s="1415"/>
      <c r="K259" s="1252"/>
      <c r="L259" s="1421"/>
      <c r="M259" s="1371" t="str">
        <f>IF('別紙様式2-2（４・５月分）'!P198="","",'別紙様式2-2（４・５月分）'!P198)</f>
        <v/>
      </c>
      <c r="N259" s="1392"/>
      <c r="O259" s="1398"/>
      <c r="P259" s="1399"/>
      <c r="Q259" s="1400"/>
      <c r="R259" s="1532"/>
      <c r="S259" s="1404"/>
      <c r="T259" s="1528"/>
      <c r="U259" s="1530"/>
      <c r="V259" s="1410"/>
      <c r="W259" s="1526"/>
      <c r="X259" s="1350"/>
      <c r="Y259" s="1526"/>
      <c r="Z259" s="1350"/>
      <c r="AA259" s="1526"/>
      <c r="AB259" s="1350"/>
      <c r="AC259" s="1526"/>
      <c r="AD259" s="1350"/>
      <c r="AE259" s="1350"/>
      <c r="AF259" s="1350"/>
      <c r="AG259" s="1352"/>
      <c r="AH259" s="1518"/>
      <c r="AI259" s="1520"/>
      <c r="AJ259" s="1522"/>
      <c r="AK259" s="1524"/>
      <c r="AL259" s="1513"/>
      <c r="AM259" s="1515"/>
      <c r="AN259" s="1334"/>
      <c r="AO259" s="1516"/>
      <c r="AP259" s="1334"/>
      <c r="AQ259" s="1482"/>
      <c r="AR259" s="1485"/>
      <c r="AS259" s="1483" t="str">
        <f t="shared" ref="AS259" si="421">IF(AU260="","",IF(OR(AA260="",AA260&lt;&gt;7,AC260="",AC260&lt;&gt;3),"！算定期間の終わりが令和７年３月になっていません。年度内の廃止予定等がなければ、算定対象月を令和７年３月にしてください。",""))</f>
        <v/>
      </c>
      <c r="AT259" s="577"/>
      <c r="AU259" s="1303"/>
      <c r="AV259" s="1304" t="str">
        <f>IF('別紙様式2-2（４・５月分）'!N198="","",'別紙様式2-2（４・５月分）'!N198)</f>
        <v/>
      </c>
      <c r="AW259" s="1305"/>
      <c r="AX259" s="1474"/>
      <c r="AY259" s="430"/>
      <c r="BD259" s="340"/>
      <c r="BE259" s="1303" t="str">
        <f>G258</f>
        <v/>
      </c>
      <c r="BF259" s="1303"/>
      <c r="BG259" s="1303"/>
    </row>
    <row r="260" spans="1:59" ht="15" customHeight="1">
      <c r="A260" s="1295"/>
      <c r="B260" s="1235"/>
      <c r="C260" s="1236"/>
      <c r="D260" s="1236"/>
      <c r="E260" s="1236"/>
      <c r="F260" s="1237"/>
      <c r="G260" s="1252"/>
      <c r="H260" s="1252"/>
      <c r="I260" s="1252"/>
      <c r="J260" s="1415"/>
      <c r="K260" s="1252"/>
      <c r="L260" s="1421"/>
      <c r="M260" s="1372"/>
      <c r="N260" s="1393"/>
      <c r="O260" s="1373" t="s">
        <v>2025</v>
      </c>
      <c r="P260" s="1425" t="str">
        <f>IFERROR(VLOOKUP('別紙様式2-2（４・５月分）'!AQ197,【参考】数式用!$AR$5:$AT$22,3,FALSE),"")</f>
        <v/>
      </c>
      <c r="Q260" s="1377" t="s">
        <v>2036</v>
      </c>
      <c r="R260" s="1508" t="str">
        <f>IFERROR(VLOOKUP(K258,【参考】数式用!$A$5:$AB$37,MATCH(P260,【参考】数式用!$B$4:$AB$4,0)+1,0),"")</f>
        <v/>
      </c>
      <c r="S260" s="1381" t="s">
        <v>2109</v>
      </c>
      <c r="T260" s="1510"/>
      <c r="U260" s="1506" t="str">
        <f>IFERROR(VLOOKUP(K258,【参考】数式用!$A$5:$AB$37,MATCH(T260,【参考】数式用!$B$4:$AB$4,0)+1,0),"")</f>
        <v/>
      </c>
      <c r="V260" s="1387" t="s">
        <v>15</v>
      </c>
      <c r="W260" s="1504"/>
      <c r="X260" s="1363" t="s">
        <v>10</v>
      </c>
      <c r="Y260" s="1504"/>
      <c r="Z260" s="1363" t="s">
        <v>38</v>
      </c>
      <c r="AA260" s="1504"/>
      <c r="AB260" s="1363" t="s">
        <v>10</v>
      </c>
      <c r="AC260" s="1504"/>
      <c r="AD260" s="1363" t="s">
        <v>2020</v>
      </c>
      <c r="AE260" s="1363" t="s">
        <v>20</v>
      </c>
      <c r="AF260" s="1363" t="str">
        <f>IF(W260&gt;=1,(AA260*12+AC260)-(W260*12+Y260)+1,"")</f>
        <v/>
      </c>
      <c r="AG260" s="1359" t="s">
        <v>33</v>
      </c>
      <c r="AH260" s="1365" t="str">
        <f t="shared" ref="AH260" si="422">IFERROR(ROUNDDOWN(ROUND(L258*U260,0),0)*AF260,"")</f>
        <v/>
      </c>
      <c r="AI260" s="1498" t="str">
        <f t="shared" ref="AI260" si="423">IFERROR(ROUNDDOWN(ROUND((L258*(U260-AW258)),0),0)*AF260,"")</f>
        <v/>
      </c>
      <c r="AJ260" s="1369" t="str">
        <f>IFERROR(ROUNDDOWN(ROUNDDOWN(ROUND(L258*VLOOKUP(K258,【参考】数式用!$A$5:$AB$27,MATCH("新加算Ⅳ",【参考】数式用!$B$4:$AB$4,0)+1,0),0),0)*AF260*0.5,0),"")</f>
        <v/>
      </c>
      <c r="AK260" s="1500"/>
      <c r="AL260" s="1502" t="str">
        <f>IFERROR(IF('別紙様式2-2（４・５月分）'!P260="ベア加算","", IF(OR(T260="新加算Ⅰ",T260="新加算Ⅱ",T260="新加算Ⅲ",T260="新加算Ⅳ"),ROUNDDOWN(ROUND(L258*VLOOKUP(K258,【参考】数式用!$A$5:$I$27,MATCH("ベア加算",【参考】数式用!$B$4:$I$4,0)+1,0),0),0)*AF260,"")),"")</f>
        <v/>
      </c>
      <c r="AM260" s="1494"/>
      <c r="AN260" s="1475"/>
      <c r="AO260" s="1496"/>
      <c r="AP260" s="1475"/>
      <c r="AQ260" s="1477"/>
      <c r="AR260" s="1479"/>
      <c r="AS260" s="1483"/>
      <c r="AT260" s="451"/>
      <c r="AU260" s="1303" t="str">
        <f>IF(AND(AA258&lt;&gt;7,AC258&lt;&gt;3),"V列に色付け","")</f>
        <v/>
      </c>
      <c r="AV260" s="1304"/>
      <c r="AW260" s="1305"/>
      <c r="AX260" s="574"/>
      <c r="AY260" s="1222" t="str">
        <f>IF(AL260&lt;&gt;"",IF(AM260="○","入力済","未入力"),"")</f>
        <v/>
      </c>
      <c r="AZ260" s="1222"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2" t="str">
        <f>IF(OR(T260="新加算Ⅴ（７）",T260="新加算Ⅴ（９）",T260="新加算Ⅴ（10）",T260="新加算Ⅴ（12）",T260="新加算Ⅴ（13）",T260="新加算Ⅴ（14）"),IF(OR(AO260="○",AO260="令和６年度中に満たす"),"入力済","未入力"),"")</f>
        <v/>
      </c>
      <c r="BB260" s="1222" t="str">
        <f>IF(OR(T260="新加算Ⅰ",T260="新加算Ⅱ",T260="新加算Ⅲ",T260="新加算Ⅴ（１）",T260="新加算Ⅴ（３）",T260="新加算Ⅴ（８）"),IF(OR(AP260="○",AP260="令和６年度中に満たす"),"入力済","未入力"),"")</f>
        <v/>
      </c>
      <c r="BC260" s="1472"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03" t="str">
        <f>IF(OR(T260="新加算Ⅰ",T260="新加算Ⅴ（１）",T260="新加算Ⅴ（２）",T260="新加算Ⅴ（５）",T260="新加算Ⅴ（７）",T260="新加算Ⅴ（10）"),IF(AR260="","未入力","入力済"),"")</f>
        <v/>
      </c>
      <c r="BE260" s="1303" t="str">
        <f>G258</f>
        <v/>
      </c>
      <c r="BF260" s="1303"/>
      <c r="BG260" s="1303"/>
    </row>
    <row r="261" spans="1:59" ht="30" customHeight="1" thickBot="1">
      <c r="A261" s="1268"/>
      <c r="B261" s="1411"/>
      <c r="C261" s="1412"/>
      <c r="D261" s="1412"/>
      <c r="E261" s="1412"/>
      <c r="F261" s="1413"/>
      <c r="G261" s="1253"/>
      <c r="H261" s="1253"/>
      <c r="I261" s="1253"/>
      <c r="J261" s="1416"/>
      <c r="K261" s="1253"/>
      <c r="L261" s="1422"/>
      <c r="M261" s="553" t="str">
        <f>IF('別紙様式2-2（４・５月分）'!P199="","",'別紙様式2-2（４・５月分）'!P199)</f>
        <v/>
      </c>
      <c r="N261" s="1394"/>
      <c r="O261" s="1374"/>
      <c r="P261" s="1426"/>
      <c r="Q261" s="1378"/>
      <c r="R261" s="1509"/>
      <c r="S261" s="1382"/>
      <c r="T261" s="1511"/>
      <c r="U261" s="1507"/>
      <c r="V261" s="1388"/>
      <c r="W261" s="1505"/>
      <c r="X261" s="1364"/>
      <c r="Y261" s="1505"/>
      <c r="Z261" s="1364"/>
      <c r="AA261" s="1505"/>
      <c r="AB261" s="1364"/>
      <c r="AC261" s="1505"/>
      <c r="AD261" s="1364"/>
      <c r="AE261" s="1364"/>
      <c r="AF261" s="1364"/>
      <c r="AG261" s="1360"/>
      <c r="AH261" s="1366"/>
      <c r="AI261" s="1499"/>
      <c r="AJ261" s="1370"/>
      <c r="AK261" s="1501"/>
      <c r="AL261" s="1503"/>
      <c r="AM261" s="1495"/>
      <c r="AN261" s="1476"/>
      <c r="AO261" s="1497"/>
      <c r="AP261" s="1476"/>
      <c r="AQ261" s="1478"/>
      <c r="AR261" s="1480"/>
      <c r="AS261" s="575"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1"/>
      <c r="AU261" s="1303"/>
      <c r="AV261" s="555" t="str">
        <f>IF('別紙様式2-2（４・５月分）'!N199="","",'別紙様式2-2（４・５月分）'!N199)</f>
        <v/>
      </c>
      <c r="AW261" s="1305"/>
      <c r="AX261" s="576"/>
      <c r="AY261" s="1222" t="str">
        <f>IF(OR(T261="新加算Ⅰ",T261="新加算Ⅱ",T261="新加算Ⅲ",T261="新加算Ⅳ",T261="新加算Ⅴ（１）",T261="新加算Ⅴ（２）",T261="新加算Ⅴ（３）",T261="新加算ⅠⅤ（４）",T261="新加算Ⅴ（５）",T261="新加算Ⅴ（６）",T261="新加算Ⅴ（８）",T261="新加算Ⅴ（11）"),IF(AI261="○","","未入力"),"")</f>
        <v/>
      </c>
      <c r="AZ261" s="1222" t="str">
        <f>IF(OR(U261="新加算Ⅰ",U261="新加算Ⅱ",U261="新加算Ⅲ",U261="新加算Ⅳ",U261="新加算Ⅴ（１）",U261="新加算Ⅴ（２）",U261="新加算Ⅴ（３）",U261="新加算ⅠⅤ（４）",U261="新加算Ⅴ（５）",U261="新加算Ⅴ（６）",U261="新加算Ⅴ（８）",U261="新加算Ⅴ（11）"),IF(AJ261="○","","未入力"),"")</f>
        <v/>
      </c>
      <c r="BA261" s="1222" t="str">
        <f>IF(OR(U261="新加算Ⅴ（７）",U261="新加算Ⅴ（９）",U261="新加算Ⅴ（10）",U261="新加算Ⅴ（12）",U261="新加算Ⅴ（13）",U261="新加算Ⅴ（14）"),IF(AK261="○","","未入力"),"")</f>
        <v/>
      </c>
      <c r="BB261" s="1222" t="str">
        <f>IF(OR(U261="新加算Ⅰ",U261="新加算Ⅱ",U261="新加算Ⅲ",U261="新加算Ⅴ（１）",U261="新加算Ⅴ（３）",U261="新加算Ⅴ（８）"),IF(AL261="○","","未入力"),"")</f>
        <v/>
      </c>
      <c r="BC261" s="1472"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03" t="str">
        <f>IF(AND(T261&lt;&gt;"（参考）令和７年度の移行予定",OR(U261="新加算Ⅰ",U261="新加算Ⅴ（１）",U261="新加算Ⅴ（２）",U261="新加算Ⅴ（５）",U261="新加算Ⅴ（７）",U261="新加算Ⅴ（10）")),IF(AN261="","未入力",IF(AN261="いずれも取得していない","要件を満たさない","")),"")</f>
        <v/>
      </c>
      <c r="BE261" s="1303" t="str">
        <f>G258</f>
        <v/>
      </c>
      <c r="BF261" s="1303"/>
      <c r="BG261" s="1303"/>
    </row>
    <row r="262" spans="1:59" ht="30" customHeight="1">
      <c r="A262" s="1266">
        <v>63</v>
      </c>
      <c r="B262" s="1235" t="str">
        <f>IF(基本情報入力シート!C116="","",基本情報入力シート!C116)</f>
        <v/>
      </c>
      <c r="C262" s="1236"/>
      <c r="D262" s="1236"/>
      <c r="E262" s="1236"/>
      <c r="F262" s="1237"/>
      <c r="G262" s="1252" t="str">
        <f>IF(基本情報入力シート!M116="","",基本情報入力シート!M116)</f>
        <v/>
      </c>
      <c r="H262" s="1252" t="str">
        <f>IF(基本情報入力シート!R116="","",基本情報入力シート!R116)</f>
        <v/>
      </c>
      <c r="I262" s="1252" t="str">
        <f>IF(基本情報入力シート!W116="","",基本情報入力シート!W116)</f>
        <v/>
      </c>
      <c r="J262" s="1415" t="str">
        <f>IF(基本情報入力シート!X116="","",基本情報入力シート!X116)</f>
        <v/>
      </c>
      <c r="K262" s="1252" t="str">
        <f>IF(基本情報入力シート!Y116="","",基本情報入力シート!Y116)</f>
        <v/>
      </c>
      <c r="L262" s="1421" t="str">
        <f>IF(基本情報入力シート!AB116="","",基本情報入力シート!AB116)</f>
        <v/>
      </c>
      <c r="M262" s="550" t="str">
        <f>IF('別紙様式2-2（４・５月分）'!P200="","",'別紙様式2-2（４・５月分）'!P200)</f>
        <v/>
      </c>
      <c r="N262" s="1391" t="str">
        <f>IF(SUM('別紙様式2-2（４・５月分）'!Q200:Q202)=0,"",SUM('別紙様式2-2（４・５月分）'!Q200:Q202))</f>
        <v/>
      </c>
      <c r="O262" s="1395" t="str">
        <f>IFERROR(VLOOKUP('別紙様式2-2（４・５月分）'!AQ200,【参考】数式用!$AR$5:$AS$22,2,FALSE),"")</f>
        <v/>
      </c>
      <c r="P262" s="1396"/>
      <c r="Q262" s="1397"/>
      <c r="R262" s="1531" t="str">
        <f>IFERROR(VLOOKUP(K262,【参考】数式用!$A$5:$AB$37,MATCH(O262,【参考】数式用!$B$4:$AB$4,0)+1,0),"")</f>
        <v/>
      </c>
      <c r="S262" s="1403" t="s">
        <v>2102</v>
      </c>
      <c r="T262" s="1527" t="str">
        <f>IF('別紙様式2-3（６月以降分）'!T262="","",'別紙様式2-3（６月以降分）'!T262)</f>
        <v/>
      </c>
      <c r="U262" s="1529" t="str">
        <f>IFERROR(VLOOKUP(K262,【参考】数式用!$A$5:$AB$37,MATCH(T262,【参考】数式用!$B$4:$AB$4,0)+1,0),"")</f>
        <v/>
      </c>
      <c r="V262" s="1409" t="s">
        <v>15</v>
      </c>
      <c r="W262" s="1525">
        <f>'別紙様式2-3（６月以降分）'!W262</f>
        <v>6</v>
      </c>
      <c r="X262" s="1349" t="s">
        <v>10</v>
      </c>
      <c r="Y262" s="1525">
        <f>'別紙様式2-3（６月以降分）'!Y262</f>
        <v>6</v>
      </c>
      <c r="Z262" s="1349" t="s">
        <v>38</v>
      </c>
      <c r="AA262" s="1525">
        <f>'別紙様式2-3（６月以降分）'!AA262</f>
        <v>7</v>
      </c>
      <c r="AB262" s="1349" t="s">
        <v>10</v>
      </c>
      <c r="AC262" s="1525">
        <f>'別紙様式2-3（６月以降分）'!AC262</f>
        <v>3</v>
      </c>
      <c r="AD262" s="1349" t="s">
        <v>2020</v>
      </c>
      <c r="AE262" s="1349" t="s">
        <v>20</v>
      </c>
      <c r="AF262" s="1349">
        <f>IF(W262&gt;=1,(AA262*12+AC262)-(W262*12+Y262)+1,"")</f>
        <v>10</v>
      </c>
      <c r="AG262" s="1351" t="s">
        <v>33</v>
      </c>
      <c r="AH262" s="1517" t="str">
        <f>'別紙様式2-3（６月以降分）'!AH262</f>
        <v/>
      </c>
      <c r="AI262" s="1519" t="str">
        <f>'別紙様式2-3（６月以降分）'!AI262</f>
        <v/>
      </c>
      <c r="AJ262" s="1521">
        <f>'別紙様式2-3（６月以降分）'!AJ262</f>
        <v>0</v>
      </c>
      <c r="AK262" s="1523" t="str">
        <f>IF('別紙様式2-3（６月以降分）'!AK262="","",'別紙様式2-3（６月以降分）'!AK262)</f>
        <v/>
      </c>
      <c r="AL262" s="1512">
        <f>'別紙様式2-3（６月以降分）'!AL262</f>
        <v>0</v>
      </c>
      <c r="AM262" s="1514" t="str">
        <f>IF('別紙様式2-3（６月以降分）'!AM262="","",'別紙様式2-3（６月以降分）'!AM262)</f>
        <v/>
      </c>
      <c r="AN262" s="1333" t="str">
        <f>IF('別紙様式2-3（６月以降分）'!AN262="","",'別紙様式2-3（６月以降分）'!AN262)</f>
        <v/>
      </c>
      <c r="AO262" s="1331" t="str">
        <f>IF('別紙様式2-3（６月以降分）'!AO262="","",'別紙様式2-3（６月以降分）'!AO262)</f>
        <v/>
      </c>
      <c r="AP262" s="1333" t="str">
        <f>IF('別紙様式2-3（６月以降分）'!AP262="","",'別紙様式2-3（６月以降分）'!AP262)</f>
        <v/>
      </c>
      <c r="AQ262" s="1481" t="str">
        <f>IF('別紙様式2-3（６月以降分）'!AQ262="","",'別紙様式2-3（６月以降分）'!AQ262)</f>
        <v/>
      </c>
      <c r="AR262" s="1484" t="str">
        <f>IF('別紙様式2-3（６月以降分）'!AR262="","",'別紙様式2-3（６月以降分）'!AR262)</f>
        <v/>
      </c>
      <c r="AS262" s="570" t="str">
        <f t="shared" ref="AS262" si="427">IF(AU264="","",IF(U264&lt;U262,"！加算の要件上は問題ありませんが、令和６年度当初の新加算の加算率と比較して、移行後の加算率が下がる計画になっています。",""))</f>
        <v/>
      </c>
      <c r="AT262" s="577"/>
      <c r="AU262" s="1301"/>
      <c r="AV262" s="555" t="str">
        <f>IF('別紙様式2-2（４・５月分）'!N200="","",'別紙様式2-2（４・５月分）'!N200)</f>
        <v/>
      </c>
      <c r="AW262" s="1305" t="str">
        <f>IF(SUM('別紙様式2-2（４・５月分）'!O200:O202)=0,"",SUM('別紙様式2-2（４・５月分）'!O200:O202))</f>
        <v/>
      </c>
      <c r="AX262" s="1473" t="str">
        <f>IFERROR(VLOOKUP(K262,【参考】数式用!$AH$2:$AI$34,2,FALSE),"")</f>
        <v/>
      </c>
      <c r="AY262" s="493"/>
      <c r="BD262" s="340"/>
      <c r="BE262" s="1303" t="str">
        <f>G262</f>
        <v/>
      </c>
      <c r="BF262" s="1303"/>
      <c r="BG262" s="1303"/>
    </row>
    <row r="263" spans="1:59" ht="15" customHeight="1">
      <c r="A263" s="1267"/>
      <c r="B263" s="1235"/>
      <c r="C263" s="1236"/>
      <c r="D263" s="1236"/>
      <c r="E263" s="1236"/>
      <c r="F263" s="1237"/>
      <c r="G263" s="1252"/>
      <c r="H263" s="1252"/>
      <c r="I263" s="1252"/>
      <c r="J263" s="1415"/>
      <c r="K263" s="1252"/>
      <c r="L263" s="1421"/>
      <c r="M263" s="1371" t="str">
        <f>IF('別紙様式2-2（４・５月分）'!P201="","",'別紙様式2-2（４・５月分）'!P201)</f>
        <v/>
      </c>
      <c r="N263" s="1392"/>
      <c r="O263" s="1398"/>
      <c r="P263" s="1399"/>
      <c r="Q263" s="1400"/>
      <c r="R263" s="1532"/>
      <c r="S263" s="1404"/>
      <c r="T263" s="1528"/>
      <c r="U263" s="1530"/>
      <c r="V263" s="1410"/>
      <c r="W263" s="1526"/>
      <c r="X263" s="1350"/>
      <c r="Y263" s="1526"/>
      <c r="Z263" s="1350"/>
      <c r="AA263" s="1526"/>
      <c r="AB263" s="1350"/>
      <c r="AC263" s="1526"/>
      <c r="AD263" s="1350"/>
      <c r="AE263" s="1350"/>
      <c r="AF263" s="1350"/>
      <c r="AG263" s="1352"/>
      <c r="AH263" s="1518"/>
      <c r="AI263" s="1520"/>
      <c r="AJ263" s="1522"/>
      <c r="AK263" s="1524"/>
      <c r="AL263" s="1513"/>
      <c r="AM263" s="1515"/>
      <c r="AN263" s="1334"/>
      <c r="AO263" s="1516"/>
      <c r="AP263" s="1334"/>
      <c r="AQ263" s="1482"/>
      <c r="AR263" s="1485"/>
      <c r="AS263" s="1483" t="str">
        <f t="shared" ref="AS263" si="428">IF(AU264="","",IF(OR(AA264="",AA264&lt;&gt;7,AC264="",AC264&lt;&gt;3),"！算定期間の終わりが令和７年３月になっていません。年度内の廃止予定等がなければ、算定対象月を令和７年３月にしてください。",""))</f>
        <v/>
      </c>
      <c r="AT263" s="577"/>
      <c r="AU263" s="1303"/>
      <c r="AV263" s="1304" t="str">
        <f>IF('別紙様式2-2（４・５月分）'!N201="","",'別紙様式2-2（４・５月分）'!N201)</f>
        <v/>
      </c>
      <c r="AW263" s="1305"/>
      <c r="AX263" s="1474"/>
      <c r="AY263" s="430"/>
      <c r="BD263" s="340"/>
      <c r="BE263" s="1303" t="str">
        <f>G262</f>
        <v/>
      </c>
      <c r="BF263" s="1303"/>
      <c r="BG263" s="1303"/>
    </row>
    <row r="264" spans="1:59" ht="15" customHeight="1">
      <c r="A264" s="1295"/>
      <c r="B264" s="1235"/>
      <c r="C264" s="1236"/>
      <c r="D264" s="1236"/>
      <c r="E264" s="1236"/>
      <c r="F264" s="1237"/>
      <c r="G264" s="1252"/>
      <c r="H264" s="1252"/>
      <c r="I264" s="1252"/>
      <c r="J264" s="1415"/>
      <c r="K264" s="1252"/>
      <c r="L264" s="1421"/>
      <c r="M264" s="1372"/>
      <c r="N264" s="1393"/>
      <c r="O264" s="1373" t="s">
        <v>2025</v>
      </c>
      <c r="P264" s="1425" t="str">
        <f>IFERROR(VLOOKUP('別紙様式2-2（４・５月分）'!AQ200,【参考】数式用!$AR$5:$AT$22,3,FALSE),"")</f>
        <v/>
      </c>
      <c r="Q264" s="1377" t="s">
        <v>2036</v>
      </c>
      <c r="R264" s="1508" t="str">
        <f>IFERROR(VLOOKUP(K262,【参考】数式用!$A$5:$AB$37,MATCH(P264,【参考】数式用!$B$4:$AB$4,0)+1,0),"")</f>
        <v/>
      </c>
      <c r="S264" s="1381" t="s">
        <v>2109</v>
      </c>
      <c r="T264" s="1510"/>
      <c r="U264" s="1506" t="str">
        <f>IFERROR(VLOOKUP(K262,【参考】数式用!$A$5:$AB$37,MATCH(T264,【参考】数式用!$B$4:$AB$4,0)+1,0),"")</f>
        <v/>
      </c>
      <c r="V264" s="1387" t="s">
        <v>15</v>
      </c>
      <c r="W264" s="1504"/>
      <c r="X264" s="1363" t="s">
        <v>10</v>
      </c>
      <c r="Y264" s="1504"/>
      <c r="Z264" s="1363" t="s">
        <v>38</v>
      </c>
      <c r="AA264" s="1504"/>
      <c r="AB264" s="1363" t="s">
        <v>10</v>
      </c>
      <c r="AC264" s="1504"/>
      <c r="AD264" s="1363" t="s">
        <v>2020</v>
      </c>
      <c r="AE264" s="1363" t="s">
        <v>20</v>
      </c>
      <c r="AF264" s="1363" t="str">
        <f>IF(W264&gt;=1,(AA264*12+AC264)-(W264*12+Y264)+1,"")</f>
        <v/>
      </c>
      <c r="AG264" s="1359" t="s">
        <v>33</v>
      </c>
      <c r="AH264" s="1365" t="str">
        <f t="shared" ref="AH264" si="429">IFERROR(ROUNDDOWN(ROUND(L262*U264,0),0)*AF264,"")</f>
        <v/>
      </c>
      <c r="AI264" s="1498" t="str">
        <f t="shared" ref="AI264" si="430">IFERROR(ROUNDDOWN(ROUND((L262*(U264-AW262)),0),0)*AF264,"")</f>
        <v/>
      </c>
      <c r="AJ264" s="1369" t="str">
        <f>IFERROR(ROUNDDOWN(ROUNDDOWN(ROUND(L262*VLOOKUP(K262,【参考】数式用!$A$5:$AB$27,MATCH("新加算Ⅳ",【参考】数式用!$B$4:$AB$4,0)+1,0),0),0)*AF264*0.5,0),"")</f>
        <v/>
      </c>
      <c r="AK264" s="1500"/>
      <c r="AL264" s="1502" t="str">
        <f>IFERROR(IF('別紙様式2-2（４・５月分）'!P264="ベア加算","", IF(OR(T264="新加算Ⅰ",T264="新加算Ⅱ",T264="新加算Ⅲ",T264="新加算Ⅳ"),ROUNDDOWN(ROUND(L262*VLOOKUP(K262,【参考】数式用!$A$5:$I$27,MATCH("ベア加算",【参考】数式用!$B$4:$I$4,0)+1,0),0),0)*AF264,"")),"")</f>
        <v/>
      </c>
      <c r="AM264" s="1494"/>
      <c r="AN264" s="1475"/>
      <c r="AO264" s="1496"/>
      <c r="AP264" s="1475"/>
      <c r="AQ264" s="1477"/>
      <c r="AR264" s="1479"/>
      <c r="AS264" s="1483"/>
      <c r="AT264" s="451"/>
      <c r="AU264" s="1303" t="str">
        <f>IF(AND(AA262&lt;&gt;7,AC262&lt;&gt;3),"V列に色付け","")</f>
        <v/>
      </c>
      <c r="AV264" s="1304"/>
      <c r="AW264" s="1305"/>
      <c r="AX264" s="574"/>
      <c r="AY264" s="1222" t="str">
        <f>IF(AL264&lt;&gt;"",IF(AM264="○","入力済","未入力"),"")</f>
        <v/>
      </c>
      <c r="AZ264" s="1222"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2" t="str">
        <f>IF(OR(T264="新加算Ⅴ（７）",T264="新加算Ⅴ（９）",T264="新加算Ⅴ（10）",T264="新加算Ⅴ（12）",T264="新加算Ⅴ（13）",T264="新加算Ⅴ（14）"),IF(OR(AO264="○",AO264="令和６年度中に満たす"),"入力済","未入力"),"")</f>
        <v/>
      </c>
      <c r="BB264" s="1222" t="str">
        <f>IF(OR(T264="新加算Ⅰ",T264="新加算Ⅱ",T264="新加算Ⅲ",T264="新加算Ⅴ（１）",T264="新加算Ⅴ（３）",T264="新加算Ⅴ（８）"),IF(OR(AP264="○",AP264="令和６年度中に満たす"),"入力済","未入力"),"")</f>
        <v/>
      </c>
      <c r="BC264" s="1472"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03" t="str">
        <f>IF(OR(T264="新加算Ⅰ",T264="新加算Ⅴ（１）",T264="新加算Ⅴ（２）",T264="新加算Ⅴ（５）",T264="新加算Ⅴ（７）",T264="新加算Ⅴ（10）"),IF(AR264="","未入力","入力済"),"")</f>
        <v/>
      </c>
      <c r="BE264" s="1303" t="str">
        <f>G262</f>
        <v/>
      </c>
      <c r="BF264" s="1303"/>
      <c r="BG264" s="1303"/>
    </row>
    <row r="265" spans="1:59" ht="30" customHeight="1" thickBot="1">
      <c r="A265" s="1268"/>
      <c r="B265" s="1411"/>
      <c r="C265" s="1412"/>
      <c r="D265" s="1412"/>
      <c r="E265" s="1412"/>
      <c r="F265" s="1413"/>
      <c r="G265" s="1253"/>
      <c r="H265" s="1253"/>
      <c r="I265" s="1253"/>
      <c r="J265" s="1416"/>
      <c r="K265" s="1253"/>
      <c r="L265" s="1422"/>
      <c r="M265" s="553" t="str">
        <f>IF('別紙様式2-2（４・５月分）'!P202="","",'別紙様式2-2（４・５月分）'!P202)</f>
        <v/>
      </c>
      <c r="N265" s="1394"/>
      <c r="O265" s="1374"/>
      <c r="P265" s="1426"/>
      <c r="Q265" s="1378"/>
      <c r="R265" s="1509"/>
      <c r="S265" s="1382"/>
      <c r="T265" s="1511"/>
      <c r="U265" s="1507"/>
      <c r="V265" s="1388"/>
      <c r="W265" s="1505"/>
      <c r="X265" s="1364"/>
      <c r="Y265" s="1505"/>
      <c r="Z265" s="1364"/>
      <c r="AA265" s="1505"/>
      <c r="AB265" s="1364"/>
      <c r="AC265" s="1505"/>
      <c r="AD265" s="1364"/>
      <c r="AE265" s="1364"/>
      <c r="AF265" s="1364"/>
      <c r="AG265" s="1360"/>
      <c r="AH265" s="1366"/>
      <c r="AI265" s="1499"/>
      <c r="AJ265" s="1370"/>
      <c r="AK265" s="1501"/>
      <c r="AL265" s="1503"/>
      <c r="AM265" s="1495"/>
      <c r="AN265" s="1476"/>
      <c r="AO265" s="1497"/>
      <c r="AP265" s="1476"/>
      <c r="AQ265" s="1478"/>
      <c r="AR265" s="1480"/>
      <c r="AS265" s="575"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1"/>
      <c r="AU265" s="1303"/>
      <c r="AV265" s="555" t="str">
        <f>IF('別紙様式2-2（４・５月分）'!N202="","",'別紙様式2-2（４・５月分）'!N202)</f>
        <v/>
      </c>
      <c r="AW265" s="1305"/>
      <c r="AX265" s="576"/>
      <c r="AY265" s="1222" t="str">
        <f>IF(OR(T265="新加算Ⅰ",T265="新加算Ⅱ",T265="新加算Ⅲ",T265="新加算Ⅳ",T265="新加算Ⅴ（１）",T265="新加算Ⅴ（２）",T265="新加算Ⅴ（３）",T265="新加算ⅠⅤ（４）",T265="新加算Ⅴ（５）",T265="新加算Ⅴ（６）",T265="新加算Ⅴ（８）",T265="新加算Ⅴ（11）"),IF(AI265="○","","未入力"),"")</f>
        <v/>
      </c>
      <c r="AZ265" s="1222" t="str">
        <f>IF(OR(U265="新加算Ⅰ",U265="新加算Ⅱ",U265="新加算Ⅲ",U265="新加算Ⅳ",U265="新加算Ⅴ（１）",U265="新加算Ⅴ（２）",U265="新加算Ⅴ（３）",U265="新加算ⅠⅤ（４）",U265="新加算Ⅴ（５）",U265="新加算Ⅴ（６）",U265="新加算Ⅴ（８）",U265="新加算Ⅴ（11）"),IF(AJ265="○","","未入力"),"")</f>
        <v/>
      </c>
      <c r="BA265" s="1222" t="str">
        <f>IF(OR(U265="新加算Ⅴ（７）",U265="新加算Ⅴ（９）",U265="新加算Ⅴ（10）",U265="新加算Ⅴ（12）",U265="新加算Ⅴ（13）",U265="新加算Ⅴ（14）"),IF(AK265="○","","未入力"),"")</f>
        <v/>
      </c>
      <c r="BB265" s="1222" t="str">
        <f>IF(OR(U265="新加算Ⅰ",U265="新加算Ⅱ",U265="新加算Ⅲ",U265="新加算Ⅴ（１）",U265="新加算Ⅴ（３）",U265="新加算Ⅴ（８）"),IF(AL265="○","","未入力"),"")</f>
        <v/>
      </c>
      <c r="BC265" s="1472"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03" t="str">
        <f>IF(AND(T265&lt;&gt;"（参考）令和７年度の移行予定",OR(U265="新加算Ⅰ",U265="新加算Ⅴ（１）",U265="新加算Ⅴ（２）",U265="新加算Ⅴ（５）",U265="新加算Ⅴ（７）",U265="新加算Ⅴ（10）")),IF(AN265="","未入力",IF(AN265="いずれも取得していない","要件を満たさない","")),"")</f>
        <v/>
      </c>
      <c r="BE265" s="1303" t="str">
        <f>G262</f>
        <v/>
      </c>
      <c r="BF265" s="1303"/>
      <c r="BG265" s="1303"/>
    </row>
    <row r="266" spans="1:59" ht="30" customHeight="1">
      <c r="A266" s="1293">
        <v>64</v>
      </c>
      <c r="B266" s="1232" t="str">
        <f>IF(基本情報入力シート!C117="","",基本情報入力シート!C117)</f>
        <v/>
      </c>
      <c r="C266" s="1233"/>
      <c r="D266" s="1233"/>
      <c r="E266" s="1233"/>
      <c r="F266" s="1234"/>
      <c r="G266" s="1251" t="str">
        <f>IF(基本情報入力シート!M117="","",基本情報入力シート!M117)</f>
        <v/>
      </c>
      <c r="H266" s="1251" t="str">
        <f>IF(基本情報入力シート!R117="","",基本情報入力シート!R117)</f>
        <v/>
      </c>
      <c r="I266" s="1251" t="str">
        <f>IF(基本情報入力シート!W117="","",基本情報入力シート!W117)</f>
        <v/>
      </c>
      <c r="J266" s="1414" t="str">
        <f>IF(基本情報入力シート!X117="","",基本情報入力シート!X117)</f>
        <v/>
      </c>
      <c r="K266" s="1251" t="str">
        <f>IF(基本情報入力シート!Y117="","",基本情報入力シート!Y117)</f>
        <v/>
      </c>
      <c r="L266" s="1427" t="str">
        <f>IF(基本情報入力シート!AB117="","",基本情報入力シート!AB117)</f>
        <v/>
      </c>
      <c r="M266" s="550" t="str">
        <f>IF('別紙様式2-2（４・５月分）'!P203="","",'別紙様式2-2（４・５月分）'!P203)</f>
        <v/>
      </c>
      <c r="N266" s="1391" t="str">
        <f>IF(SUM('別紙様式2-2（４・５月分）'!Q203:Q205)=0,"",SUM('別紙様式2-2（４・５月分）'!Q203:Q205))</f>
        <v/>
      </c>
      <c r="O266" s="1395" t="str">
        <f>IFERROR(VLOOKUP('別紙様式2-2（４・５月分）'!AQ203,【参考】数式用!$AR$5:$AS$22,2,FALSE),"")</f>
        <v/>
      </c>
      <c r="P266" s="1396"/>
      <c r="Q266" s="1397"/>
      <c r="R266" s="1531" t="str">
        <f>IFERROR(VLOOKUP(K266,【参考】数式用!$A$5:$AB$37,MATCH(O266,【参考】数式用!$B$4:$AB$4,0)+1,0),"")</f>
        <v/>
      </c>
      <c r="S266" s="1403" t="s">
        <v>2102</v>
      </c>
      <c r="T266" s="1527" t="str">
        <f>IF('別紙様式2-3（６月以降分）'!T266="","",'別紙様式2-3（６月以降分）'!T266)</f>
        <v/>
      </c>
      <c r="U266" s="1529" t="str">
        <f>IFERROR(VLOOKUP(K266,【参考】数式用!$A$5:$AB$37,MATCH(T266,【参考】数式用!$B$4:$AB$4,0)+1,0),"")</f>
        <v/>
      </c>
      <c r="V266" s="1409" t="s">
        <v>15</v>
      </c>
      <c r="W266" s="1525">
        <f>'別紙様式2-3（６月以降分）'!W266</f>
        <v>6</v>
      </c>
      <c r="X266" s="1349" t="s">
        <v>10</v>
      </c>
      <c r="Y266" s="1525">
        <f>'別紙様式2-3（６月以降分）'!Y266</f>
        <v>6</v>
      </c>
      <c r="Z266" s="1349" t="s">
        <v>38</v>
      </c>
      <c r="AA266" s="1525">
        <f>'別紙様式2-3（６月以降分）'!AA266</f>
        <v>7</v>
      </c>
      <c r="AB266" s="1349" t="s">
        <v>10</v>
      </c>
      <c r="AC266" s="1525">
        <f>'別紙様式2-3（６月以降分）'!AC266</f>
        <v>3</v>
      </c>
      <c r="AD266" s="1349" t="s">
        <v>2020</v>
      </c>
      <c r="AE266" s="1349" t="s">
        <v>20</v>
      </c>
      <c r="AF266" s="1349">
        <f>IF(W266&gt;=1,(AA266*12+AC266)-(W266*12+Y266)+1,"")</f>
        <v>10</v>
      </c>
      <c r="AG266" s="1351" t="s">
        <v>33</v>
      </c>
      <c r="AH266" s="1517" t="str">
        <f>'別紙様式2-3（６月以降分）'!AH266</f>
        <v/>
      </c>
      <c r="AI266" s="1519" t="str">
        <f>'別紙様式2-3（６月以降分）'!AI266</f>
        <v/>
      </c>
      <c r="AJ266" s="1521">
        <f>'別紙様式2-3（６月以降分）'!AJ266</f>
        <v>0</v>
      </c>
      <c r="AK266" s="1523" t="str">
        <f>IF('別紙様式2-3（６月以降分）'!AK266="","",'別紙様式2-3（６月以降分）'!AK266)</f>
        <v/>
      </c>
      <c r="AL266" s="1512">
        <f>'別紙様式2-3（６月以降分）'!AL266</f>
        <v>0</v>
      </c>
      <c r="AM266" s="1514" t="str">
        <f>IF('別紙様式2-3（６月以降分）'!AM266="","",'別紙様式2-3（６月以降分）'!AM266)</f>
        <v/>
      </c>
      <c r="AN266" s="1333" t="str">
        <f>IF('別紙様式2-3（６月以降分）'!AN266="","",'別紙様式2-3（６月以降分）'!AN266)</f>
        <v/>
      </c>
      <c r="AO266" s="1331" t="str">
        <f>IF('別紙様式2-3（６月以降分）'!AO266="","",'別紙様式2-3（６月以降分）'!AO266)</f>
        <v/>
      </c>
      <c r="AP266" s="1333" t="str">
        <f>IF('別紙様式2-3（６月以降分）'!AP266="","",'別紙様式2-3（６月以降分）'!AP266)</f>
        <v/>
      </c>
      <c r="AQ266" s="1481" t="str">
        <f>IF('別紙様式2-3（６月以降分）'!AQ266="","",'別紙様式2-3（６月以降分）'!AQ266)</f>
        <v/>
      </c>
      <c r="AR266" s="1484" t="str">
        <f>IF('別紙様式2-3（６月以降分）'!AR266="","",'別紙様式2-3（６月以降分）'!AR266)</f>
        <v/>
      </c>
      <c r="AS266" s="570" t="str">
        <f t="shared" ref="AS266" si="434">IF(AU268="","",IF(U268&lt;U266,"！加算の要件上は問題ありませんが、令和６年度当初の新加算の加算率と比較して、移行後の加算率が下がる計画になっています。",""))</f>
        <v/>
      </c>
      <c r="AT266" s="577"/>
      <c r="AU266" s="1301"/>
      <c r="AV266" s="555" t="str">
        <f>IF('別紙様式2-2（４・５月分）'!N203="","",'別紙様式2-2（４・５月分）'!N203)</f>
        <v/>
      </c>
      <c r="AW266" s="1305" t="str">
        <f>IF(SUM('別紙様式2-2（４・５月分）'!O203:O205)=0,"",SUM('別紙様式2-2（４・５月分）'!O203:O205))</f>
        <v/>
      </c>
      <c r="AX266" s="1473" t="str">
        <f>IFERROR(VLOOKUP(K266,【参考】数式用!$AH$2:$AI$34,2,FALSE),"")</f>
        <v/>
      </c>
      <c r="AY266" s="493"/>
      <c r="BD266" s="340"/>
      <c r="BE266" s="1303" t="str">
        <f>G266</f>
        <v/>
      </c>
      <c r="BF266" s="1303"/>
      <c r="BG266" s="1303"/>
    </row>
    <row r="267" spans="1:59" ht="15" customHeight="1">
      <c r="A267" s="1267"/>
      <c r="B267" s="1235"/>
      <c r="C267" s="1236"/>
      <c r="D267" s="1236"/>
      <c r="E267" s="1236"/>
      <c r="F267" s="1237"/>
      <c r="G267" s="1252"/>
      <c r="H267" s="1252"/>
      <c r="I267" s="1252"/>
      <c r="J267" s="1415"/>
      <c r="K267" s="1252"/>
      <c r="L267" s="1421"/>
      <c r="M267" s="1371" t="str">
        <f>IF('別紙様式2-2（４・５月分）'!P204="","",'別紙様式2-2（４・５月分）'!P204)</f>
        <v/>
      </c>
      <c r="N267" s="1392"/>
      <c r="O267" s="1398"/>
      <c r="P267" s="1399"/>
      <c r="Q267" s="1400"/>
      <c r="R267" s="1532"/>
      <c r="S267" s="1404"/>
      <c r="T267" s="1528"/>
      <c r="U267" s="1530"/>
      <c r="V267" s="1410"/>
      <c r="W267" s="1526"/>
      <c r="X267" s="1350"/>
      <c r="Y267" s="1526"/>
      <c r="Z267" s="1350"/>
      <c r="AA267" s="1526"/>
      <c r="AB267" s="1350"/>
      <c r="AC267" s="1526"/>
      <c r="AD267" s="1350"/>
      <c r="AE267" s="1350"/>
      <c r="AF267" s="1350"/>
      <c r="AG267" s="1352"/>
      <c r="AH267" s="1518"/>
      <c r="AI267" s="1520"/>
      <c r="AJ267" s="1522"/>
      <c r="AK267" s="1524"/>
      <c r="AL267" s="1513"/>
      <c r="AM267" s="1515"/>
      <c r="AN267" s="1334"/>
      <c r="AO267" s="1516"/>
      <c r="AP267" s="1334"/>
      <c r="AQ267" s="1482"/>
      <c r="AR267" s="1485"/>
      <c r="AS267" s="1483" t="str">
        <f t="shared" ref="AS267" si="435">IF(AU268="","",IF(OR(AA268="",AA268&lt;&gt;7,AC268="",AC268&lt;&gt;3),"！算定期間の終わりが令和７年３月になっていません。年度内の廃止予定等がなければ、算定対象月を令和７年３月にしてください。",""))</f>
        <v/>
      </c>
      <c r="AT267" s="577"/>
      <c r="AU267" s="1303"/>
      <c r="AV267" s="1304" t="str">
        <f>IF('別紙様式2-2（４・５月分）'!N204="","",'別紙様式2-2（４・５月分）'!N204)</f>
        <v/>
      </c>
      <c r="AW267" s="1305"/>
      <c r="AX267" s="1474"/>
      <c r="AY267" s="430"/>
      <c r="BD267" s="340"/>
      <c r="BE267" s="1303" t="str">
        <f>G266</f>
        <v/>
      </c>
      <c r="BF267" s="1303"/>
      <c r="BG267" s="1303"/>
    </row>
    <row r="268" spans="1:59" ht="15" customHeight="1">
      <c r="A268" s="1295"/>
      <c r="B268" s="1235"/>
      <c r="C268" s="1236"/>
      <c r="D268" s="1236"/>
      <c r="E268" s="1236"/>
      <c r="F268" s="1237"/>
      <c r="G268" s="1252"/>
      <c r="H268" s="1252"/>
      <c r="I268" s="1252"/>
      <c r="J268" s="1415"/>
      <c r="K268" s="1252"/>
      <c r="L268" s="1421"/>
      <c r="M268" s="1372"/>
      <c r="N268" s="1393"/>
      <c r="O268" s="1373" t="s">
        <v>2025</v>
      </c>
      <c r="P268" s="1425" t="str">
        <f>IFERROR(VLOOKUP('別紙様式2-2（４・５月分）'!AQ203,【参考】数式用!$AR$5:$AT$22,3,FALSE),"")</f>
        <v/>
      </c>
      <c r="Q268" s="1377" t="s">
        <v>2036</v>
      </c>
      <c r="R268" s="1508" t="str">
        <f>IFERROR(VLOOKUP(K266,【参考】数式用!$A$5:$AB$37,MATCH(P268,【参考】数式用!$B$4:$AB$4,0)+1,0),"")</f>
        <v/>
      </c>
      <c r="S268" s="1381" t="s">
        <v>2109</v>
      </c>
      <c r="T268" s="1510"/>
      <c r="U268" s="1506" t="str">
        <f>IFERROR(VLOOKUP(K266,【参考】数式用!$A$5:$AB$37,MATCH(T268,【参考】数式用!$B$4:$AB$4,0)+1,0),"")</f>
        <v/>
      </c>
      <c r="V268" s="1387" t="s">
        <v>15</v>
      </c>
      <c r="W268" s="1504"/>
      <c r="X268" s="1363" t="s">
        <v>10</v>
      </c>
      <c r="Y268" s="1504"/>
      <c r="Z268" s="1363" t="s">
        <v>38</v>
      </c>
      <c r="AA268" s="1504"/>
      <c r="AB268" s="1363" t="s">
        <v>10</v>
      </c>
      <c r="AC268" s="1504"/>
      <c r="AD268" s="1363" t="s">
        <v>2020</v>
      </c>
      <c r="AE268" s="1363" t="s">
        <v>20</v>
      </c>
      <c r="AF268" s="1363" t="str">
        <f>IF(W268&gt;=1,(AA268*12+AC268)-(W268*12+Y268)+1,"")</f>
        <v/>
      </c>
      <c r="AG268" s="1359" t="s">
        <v>33</v>
      </c>
      <c r="AH268" s="1365" t="str">
        <f t="shared" ref="AH268" si="436">IFERROR(ROUNDDOWN(ROUND(L266*U268,0),0)*AF268,"")</f>
        <v/>
      </c>
      <c r="AI268" s="1498" t="str">
        <f t="shared" ref="AI268" si="437">IFERROR(ROUNDDOWN(ROUND((L266*(U268-AW266)),0),0)*AF268,"")</f>
        <v/>
      </c>
      <c r="AJ268" s="1369" t="str">
        <f>IFERROR(ROUNDDOWN(ROUNDDOWN(ROUND(L266*VLOOKUP(K266,【参考】数式用!$A$5:$AB$27,MATCH("新加算Ⅳ",【参考】数式用!$B$4:$AB$4,0)+1,0),0),0)*AF268*0.5,0),"")</f>
        <v/>
      </c>
      <c r="AK268" s="1500"/>
      <c r="AL268" s="1502" t="str">
        <f>IFERROR(IF('別紙様式2-2（４・５月分）'!P268="ベア加算","", IF(OR(T268="新加算Ⅰ",T268="新加算Ⅱ",T268="新加算Ⅲ",T268="新加算Ⅳ"),ROUNDDOWN(ROUND(L266*VLOOKUP(K266,【参考】数式用!$A$5:$I$27,MATCH("ベア加算",【参考】数式用!$B$4:$I$4,0)+1,0),0),0)*AF268,"")),"")</f>
        <v/>
      </c>
      <c r="AM268" s="1494"/>
      <c r="AN268" s="1475"/>
      <c r="AO268" s="1496"/>
      <c r="AP268" s="1475"/>
      <c r="AQ268" s="1477"/>
      <c r="AR268" s="1479"/>
      <c r="AS268" s="1483"/>
      <c r="AT268" s="451"/>
      <c r="AU268" s="1303" t="str">
        <f>IF(AND(AA266&lt;&gt;7,AC266&lt;&gt;3),"V列に色付け","")</f>
        <v/>
      </c>
      <c r="AV268" s="1304"/>
      <c r="AW268" s="1305"/>
      <c r="AX268" s="574"/>
      <c r="AY268" s="1222" t="str">
        <f>IF(AL268&lt;&gt;"",IF(AM268="○","入力済","未入力"),"")</f>
        <v/>
      </c>
      <c r="AZ268" s="1222"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2" t="str">
        <f>IF(OR(T268="新加算Ⅴ（７）",T268="新加算Ⅴ（９）",T268="新加算Ⅴ（10）",T268="新加算Ⅴ（12）",T268="新加算Ⅴ（13）",T268="新加算Ⅴ（14）"),IF(OR(AO268="○",AO268="令和６年度中に満たす"),"入力済","未入力"),"")</f>
        <v/>
      </c>
      <c r="BB268" s="1222" t="str">
        <f>IF(OR(T268="新加算Ⅰ",T268="新加算Ⅱ",T268="新加算Ⅲ",T268="新加算Ⅴ（１）",T268="新加算Ⅴ（３）",T268="新加算Ⅴ（８）"),IF(OR(AP268="○",AP268="令和６年度中に満たす"),"入力済","未入力"),"")</f>
        <v/>
      </c>
      <c r="BC268" s="1472"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03" t="str">
        <f>IF(OR(T268="新加算Ⅰ",T268="新加算Ⅴ（１）",T268="新加算Ⅴ（２）",T268="新加算Ⅴ（５）",T268="新加算Ⅴ（７）",T268="新加算Ⅴ（10）"),IF(AR268="","未入力","入力済"),"")</f>
        <v/>
      </c>
      <c r="BE268" s="1303" t="str">
        <f>G266</f>
        <v/>
      </c>
      <c r="BF268" s="1303"/>
      <c r="BG268" s="1303"/>
    </row>
    <row r="269" spans="1:59" ht="30" customHeight="1" thickBot="1">
      <c r="A269" s="1268"/>
      <c r="B269" s="1411"/>
      <c r="C269" s="1412"/>
      <c r="D269" s="1412"/>
      <c r="E269" s="1412"/>
      <c r="F269" s="1413"/>
      <c r="G269" s="1253"/>
      <c r="H269" s="1253"/>
      <c r="I269" s="1253"/>
      <c r="J269" s="1416"/>
      <c r="K269" s="1253"/>
      <c r="L269" s="1422"/>
      <c r="M269" s="553" t="str">
        <f>IF('別紙様式2-2（４・５月分）'!P205="","",'別紙様式2-2（４・５月分）'!P205)</f>
        <v/>
      </c>
      <c r="N269" s="1394"/>
      <c r="O269" s="1374"/>
      <c r="P269" s="1426"/>
      <c r="Q269" s="1378"/>
      <c r="R269" s="1509"/>
      <c r="S269" s="1382"/>
      <c r="T269" s="1511"/>
      <c r="U269" s="1507"/>
      <c r="V269" s="1388"/>
      <c r="W269" s="1505"/>
      <c r="X269" s="1364"/>
      <c r="Y269" s="1505"/>
      <c r="Z269" s="1364"/>
      <c r="AA269" s="1505"/>
      <c r="AB269" s="1364"/>
      <c r="AC269" s="1505"/>
      <c r="AD269" s="1364"/>
      <c r="AE269" s="1364"/>
      <c r="AF269" s="1364"/>
      <c r="AG269" s="1360"/>
      <c r="AH269" s="1366"/>
      <c r="AI269" s="1499"/>
      <c r="AJ269" s="1370"/>
      <c r="AK269" s="1501"/>
      <c r="AL269" s="1503"/>
      <c r="AM269" s="1495"/>
      <c r="AN269" s="1476"/>
      <c r="AO269" s="1497"/>
      <c r="AP269" s="1476"/>
      <c r="AQ269" s="1478"/>
      <c r="AR269" s="1480"/>
      <c r="AS269" s="575"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1"/>
      <c r="AU269" s="1303"/>
      <c r="AV269" s="555" t="str">
        <f>IF('別紙様式2-2（４・５月分）'!N205="","",'別紙様式2-2（４・５月分）'!N205)</f>
        <v/>
      </c>
      <c r="AW269" s="1305"/>
      <c r="AX269" s="576"/>
      <c r="AY269" s="1222" t="str">
        <f>IF(OR(T269="新加算Ⅰ",T269="新加算Ⅱ",T269="新加算Ⅲ",T269="新加算Ⅳ",T269="新加算Ⅴ（１）",T269="新加算Ⅴ（２）",T269="新加算Ⅴ（３）",T269="新加算ⅠⅤ（４）",T269="新加算Ⅴ（５）",T269="新加算Ⅴ（６）",T269="新加算Ⅴ（８）",T269="新加算Ⅴ（11）"),IF(AI269="○","","未入力"),"")</f>
        <v/>
      </c>
      <c r="AZ269" s="1222" t="str">
        <f>IF(OR(U269="新加算Ⅰ",U269="新加算Ⅱ",U269="新加算Ⅲ",U269="新加算Ⅳ",U269="新加算Ⅴ（１）",U269="新加算Ⅴ（２）",U269="新加算Ⅴ（３）",U269="新加算ⅠⅤ（４）",U269="新加算Ⅴ（５）",U269="新加算Ⅴ（６）",U269="新加算Ⅴ（８）",U269="新加算Ⅴ（11）"),IF(AJ269="○","","未入力"),"")</f>
        <v/>
      </c>
      <c r="BA269" s="1222" t="str">
        <f>IF(OR(U269="新加算Ⅴ（７）",U269="新加算Ⅴ（９）",U269="新加算Ⅴ（10）",U269="新加算Ⅴ（12）",U269="新加算Ⅴ（13）",U269="新加算Ⅴ（14）"),IF(AK269="○","","未入力"),"")</f>
        <v/>
      </c>
      <c r="BB269" s="1222" t="str">
        <f>IF(OR(U269="新加算Ⅰ",U269="新加算Ⅱ",U269="新加算Ⅲ",U269="新加算Ⅴ（１）",U269="新加算Ⅴ（３）",U269="新加算Ⅴ（８）"),IF(AL269="○","","未入力"),"")</f>
        <v/>
      </c>
      <c r="BC269" s="1472"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03" t="str">
        <f>IF(AND(T269&lt;&gt;"（参考）令和７年度の移行予定",OR(U269="新加算Ⅰ",U269="新加算Ⅴ（１）",U269="新加算Ⅴ（２）",U269="新加算Ⅴ（５）",U269="新加算Ⅴ（７）",U269="新加算Ⅴ（10）")),IF(AN269="","未入力",IF(AN269="いずれも取得していない","要件を満たさない","")),"")</f>
        <v/>
      </c>
      <c r="BE269" s="1303" t="str">
        <f>G266</f>
        <v/>
      </c>
      <c r="BF269" s="1303"/>
      <c r="BG269" s="1303"/>
    </row>
    <row r="270" spans="1:59" ht="30" customHeight="1">
      <c r="A270" s="1266">
        <v>65</v>
      </c>
      <c r="B270" s="1235" t="str">
        <f>IF(基本情報入力シート!C118="","",基本情報入力シート!C118)</f>
        <v/>
      </c>
      <c r="C270" s="1236"/>
      <c r="D270" s="1236"/>
      <c r="E270" s="1236"/>
      <c r="F270" s="1237"/>
      <c r="G270" s="1252" t="str">
        <f>IF(基本情報入力シート!M118="","",基本情報入力シート!M118)</f>
        <v/>
      </c>
      <c r="H270" s="1252" t="str">
        <f>IF(基本情報入力シート!R118="","",基本情報入力シート!R118)</f>
        <v/>
      </c>
      <c r="I270" s="1252" t="str">
        <f>IF(基本情報入力シート!W118="","",基本情報入力シート!W118)</f>
        <v/>
      </c>
      <c r="J270" s="1415" t="str">
        <f>IF(基本情報入力シート!X118="","",基本情報入力シート!X118)</f>
        <v/>
      </c>
      <c r="K270" s="1252" t="str">
        <f>IF(基本情報入力シート!Y118="","",基本情報入力シート!Y118)</f>
        <v/>
      </c>
      <c r="L270" s="1421" t="str">
        <f>IF(基本情報入力シート!AB118="","",基本情報入力シート!AB118)</f>
        <v/>
      </c>
      <c r="M270" s="550" t="str">
        <f>IF('別紙様式2-2（４・５月分）'!P206="","",'別紙様式2-2（４・５月分）'!P206)</f>
        <v/>
      </c>
      <c r="N270" s="1391" t="str">
        <f>IF(SUM('別紙様式2-2（４・５月分）'!Q206:Q208)=0,"",SUM('別紙様式2-2（４・５月分）'!Q206:Q208))</f>
        <v/>
      </c>
      <c r="O270" s="1395" t="str">
        <f>IFERROR(VLOOKUP('別紙様式2-2（４・５月分）'!AQ206,【参考】数式用!$AR$5:$AS$22,2,FALSE),"")</f>
        <v/>
      </c>
      <c r="P270" s="1396"/>
      <c r="Q270" s="1397"/>
      <c r="R270" s="1531" t="str">
        <f>IFERROR(VLOOKUP(K270,【参考】数式用!$A$5:$AB$37,MATCH(O270,【参考】数式用!$B$4:$AB$4,0)+1,0),"")</f>
        <v/>
      </c>
      <c r="S270" s="1403" t="s">
        <v>2102</v>
      </c>
      <c r="T270" s="1527" t="str">
        <f>IF('別紙様式2-3（６月以降分）'!T270="","",'別紙様式2-3（６月以降分）'!T270)</f>
        <v/>
      </c>
      <c r="U270" s="1529" t="str">
        <f>IFERROR(VLOOKUP(K270,【参考】数式用!$A$5:$AB$37,MATCH(T270,【参考】数式用!$B$4:$AB$4,0)+1,0),"")</f>
        <v/>
      </c>
      <c r="V270" s="1409" t="s">
        <v>15</v>
      </c>
      <c r="W270" s="1525">
        <f>'別紙様式2-3（６月以降分）'!W270</f>
        <v>6</v>
      </c>
      <c r="X270" s="1349" t="s">
        <v>10</v>
      </c>
      <c r="Y270" s="1525">
        <f>'別紙様式2-3（６月以降分）'!Y270</f>
        <v>6</v>
      </c>
      <c r="Z270" s="1349" t="s">
        <v>38</v>
      </c>
      <c r="AA270" s="1525">
        <f>'別紙様式2-3（６月以降分）'!AA270</f>
        <v>7</v>
      </c>
      <c r="AB270" s="1349" t="s">
        <v>10</v>
      </c>
      <c r="AC270" s="1525">
        <f>'別紙様式2-3（６月以降分）'!AC270</f>
        <v>3</v>
      </c>
      <c r="AD270" s="1349" t="s">
        <v>2020</v>
      </c>
      <c r="AE270" s="1349" t="s">
        <v>20</v>
      </c>
      <c r="AF270" s="1349">
        <f>IF(W270&gt;=1,(AA270*12+AC270)-(W270*12+Y270)+1,"")</f>
        <v>10</v>
      </c>
      <c r="AG270" s="1351" t="s">
        <v>33</v>
      </c>
      <c r="AH270" s="1517" t="str">
        <f>'別紙様式2-3（６月以降分）'!AH270</f>
        <v/>
      </c>
      <c r="AI270" s="1519" t="str">
        <f>'別紙様式2-3（６月以降分）'!AI270</f>
        <v/>
      </c>
      <c r="AJ270" s="1521">
        <f>'別紙様式2-3（６月以降分）'!AJ270</f>
        <v>0</v>
      </c>
      <c r="AK270" s="1523" t="str">
        <f>IF('別紙様式2-3（６月以降分）'!AK270="","",'別紙様式2-3（６月以降分）'!AK270)</f>
        <v/>
      </c>
      <c r="AL270" s="1512">
        <f>'別紙様式2-3（６月以降分）'!AL270</f>
        <v>0</v>
      </c>
      <c r="AM270" s="1514" t="str">
        <f>IF('別紙様式2-3（６月以降分）'!AM270="","",'別紙様式2-3（６月以降分）'!AM270)</f>
        <v/>
      </c>
      <c r="AN270" s="1333" t="str">
        <f>IF('別紙様式2-3（６月以降分）'!AN270="","",'別紙様式2-3（６月以降分）'!AN270)</f>
        <v/>
      </c>
      <c r="AO270" s="1331" t="str">
        <f>IF('別紙様式2-3（６月以降分）'!AO270="","",'別紙様式2-3（６月以降分）'!AO270)</f>
        <v/>
      </c>
      <c r="AP270" s="1333" t="str">
        <f>IF('別紙様式2-3（６月以降分）'!AP270="","",'別紙様式2-3（６月以降分）'!AP270)</f>
        <v/>
      </c>
      <c r="AQ270" s="1481" t="str">
        <f>IF('別紙様式2-3（６月以降分）'!AQ270="","",'別紙様式2-3（６月以降分）'!AQ270)</f>
        <v/>
      </c>
      <c r="AR270" s="1484" t="str">
        <f>IF('別紙様式2-3（６月以降分）'!AR270="","",'別紙様式2-3（６月以降分）'!AR270)</f>
        <v/>
      </c>
      <c r="AS270" s="570" t="str">
        <f t="shared" ref="AS270" si="441">IF(AU272="","",IF(U272&lt;U270,"！加算の要件上は問題ありませんが、令和６年度当初の新加算の加算率と比較して、移行後の加算率が下がる計画になっています。",""))</f>
        <v/>
      </c>
      <c r="AT270" s="577"/>
      <c r="AU270" s="1301"/>
      <c r="AV270" s="555" t="str">
        <f>IF('別紙様式2-2（４・５月分）'!N206="","",'別紙様式2-2（４・５月分）'!N206)</f>
        <v/>
      </c>
      <c r="AW270" s="1305" t="str">
        <f>IF(SUM('別紙様式2-2（４・５月分）'!O206:O208)=0,"",SUM('別紙様式2-2（４・５月分）'!O206:O208))</f>
        <v/>
      </c>
      <c r="AX270" s="1473" t="str">
        <f>IFERROR(VLOOKUP(K270,【参考】数式用!$AH$2:$AI$34,2,FALSE),"")</f>
        <v/>
      </c>
      <c r="AY270" s="493"/>
      <c r="BD270" s="340"/>
      <c r="BE270" s="1303" t="str">
        <f>G270</f>
        <v/>
      </c>
      <c r="BF270" s="1303"/>
      <c r="BG270" s="1303"/>
    </row>
    <row r="271" spans="1:59" ht="15" customHeight="1">
      <c r="A271" s="1267"/>
      <c r="B271" s="1235"/>
      <c r="C271" s="1236"/>
      <c r="D271" s="1236"/>
      <c r="E271" s="1236"/>
      <c r="F271" s="1237"/>
      <c r="G271" s="1252"/>
      <c r="H271" s="1252"/>
      <c r="I271" s="1252"/>
      <c r="J271" s="1415"/>
      <c r="K271" s="1252"/>
      <c r="L271" s="1421"/>
      <c r="M271" s="1371" t="str">
        <f>IF('別紙様式2-2（４・５月分）'!P207="","",'別紙様式2-2（４・５月分）'!P207)</f>
        <v/>
      </c>
      <c r="N271" s="1392"/>
      <c r="O271" s="1398"/>
      <c r="P271" s="1399"/>
      <c r="Q271" s="1400"/>
      <c r="R271" s="1532"/>
      <c r="S271" s="1404"/>
      <c r="T271" s="1528"/>
      <c r="U271" s="1530"/>
      <c r="V271" s="1410"/>
      <c r="W271" s="1526"/>
      <c r="X271" s="1350"/>
      <c r="Y271" s="1526"/>
      <c r="Z271" s="1350"/>
      <c r="AA271" s="1526"/>
      <c r="AB271" s="1350"/>
      <c r="AC271" s="1526"/>
      <c r="AD271" s="1350"/>
      <c r="AE271" s="1350"/>
      <c r="AF271" s="1350"/>
      <c r="AG271" s="1352"/>
      <c r="AH271" s="1518"/>
      <c r="AI271" s="1520"/>
      <c r="AJ271" s="1522"/>
      <c r="AK271" s="1524"/>
      <c r="AL271" s="1513"/>
      <c r="AM271" s="1515"/>
      <c r="AN271" s="1334"/>
      <c r="AO271" s="1516"/>
      <c r="AP271" s="1334"/>
      <c r="AQ271" s="1482"/>
      <c r="AR271" s="1485"/>
      <c r="AS271" s="1483" t="str">
        <f t="shared" ref="AS271" si="442">IF(AU272="","",IF(OR(AA272="",AA272&lt;&gt;7,AC272="",AC272&lt;&gt;3),"！算定期間の終わりが令和７年３月になっていません。年度内の廃止予定等がなければ、算定対象月を令和７年３月にしてください。",""))</f>
        <v/>
      </c>
      <c r="AT271" s="577"/>
      <c r="AU271" s="1303"/>
      <c r="AV271" s="1304" t="str">
        <f>IF('別紙様式2-2（４・５月分）'!N207="","",'別紙様式2-2（４・５月分）'!N207)</f>
        <v/>
      </c>
      <c r="AW271" s="1305"/>
      <c r="AX271" s="1474"/>
      <c r="AY271" s="430"/>
      <c r="BD271" s="340"/>
      <c r="BE271" s="1303" t="str">
        <f>G270</f>
        <v/>
      </c>
      <c r="BF271" s="1303"/>
      <c r="BG271" s="1303"/>
    </row>
    <row r="272" spans="1:59" ht="15" customHeight="1">
      <c r="A272" s="1295"/>
      <c r="B272" s="1235"/>
      <c r="C272" s="1236"/>
      <c r="D272" s="1236"/>
      <c r="E272" s="1236"/>
      <c r="F272" s="1237"/>
      <c r="G272" s="1252"/>
      <c r="H272" s="1252"/>
      <c r="I272" s="1252"/>
      <c r="J272" s="1415"/>
      <c r="K272" s="1252"/>
      <c r="L272" s="1421"/>
      <c r="M272" s="1372"/>
      <c r="N272" s="1393"/>
      <c r="O272" s="1373" t="s">
        <v>2025</v>
      </c>
      <c r="P272" s="1425" t="str">
        <f>IFERROR(VLOOKUP('別紙様式2-2（４・５月分）'!AQ206,【参考】数式用!$AR$5:$AT$22,3,FALSE),"")</f>
        <v/>
      </c>
      <c r="Q272" s="1377" t="s">
        <v>2036</v>
      </c>
      <c r="R272" s="1508" t="str">
        <f>IFERROR(VLOOKUP(K270,【参考】数式用!$A$5:$AB$37,MATCH(P272,【参考】数式用!$B$4:$AB$4,0)+1,0),"")</f>
        <v/>
      </c>
      <c r="S272" s="1381" t="s">
        <v>2109</v>
      </c>
      <c r="T272" s="1510"/>
      <c r="U272" s="1506" t="str">
        <f>IFERROR(VLOOKUP(K270,【参考】数式用!$A$5:$AB$37,MATCH(T272,【参考】数式用!$B$4:$AB$4,0)+1,0),"")</f>
        <v/>
      </c>
      <c r="V272" s="1387" t="s">
        <v>15</v>
      </c>
      <c r="W272" s="1504"/>
      <c r="X272" s="1363" t="s">
        <v>10</v>
      </c>
      <c r="Y272" s="1504"/>
      <c r="Z272" s="1363" t="s">
        <v>38</v>
      </c>
      <c r="AA272" s="1504"/>
      <c r="AB272" s="1363" t="s">
        <v>10</v>
      </c>
      <c r="AC272" s="1504"/>
      <c r="AD272" s="1363" t="s">
        <v>2020</v>
      </c>
      <c r="AE272" s="1363" t="s">
        <v>20</v>
      </c>
      <c r="AF272" s="1363" t="str">
        <f>IF(W272&gt;=1,(AA272*12+AC272)-(W272*12+Y272)+1,"")</f>
        <v/>
      </c>
      <c r="AG272" s="1359" t="s">
        <v>33</v>
      </c>
      <c r="AH272" s="1365" t="str">
        <f t="shared" ref="AH272" si="443">IFERROR(ROUNDDOWN(ROUND(L270*U272,0),0)*AF272,"")</f>
        <v/>
      </c>
      <c r="AI272" s="1498" t="str">
        <f t="shared" ref="AI272" si="444">IFERROR(ROUNDDOWN(ROUND((L270*(U272-AW270)),0),0)*AF272,"")</f>
        <v/>
      </c>
      <c r="AJ272" s="1369" t="str">
        <f>IFERROR(ROUNDDOWN(ROUNDDOWN(ROUND(L270*VLOOKUP(K270,【参考】数式用!$A$5:$AB$27,MATCH("新加算Ⅳ",【参考】数式用!$B$4:$AB$4,0)+1,0),0),0)*AF272*0.5,0),"")</f>
        <v/>
      </c>
      <c r="AK272" s="1500"/>
      <c r="AL272" s="1502" t="str">
        <f>IFERROR(IF('別紙様式2-2（４・５月分）'!P272="ベア加算","", IF(OR(T272="新加算Ⅰ",T272="新加算Ⅱ",T272="新加算Ⅲ",T272="新加算Ⅳ"),ROUNDDOWN(ROUND(L270*VLOOKUP(K270,【参考】数式用!$A$5:$I$27,MATCH("ベア加算",【参考】数式用!$B$4:$I$4,0)+1,0),0),0)*AF272,"")),"")</f>
        <v/>
      </c>
      <c r="AM272" s="1494"/>
      <c r="AN272" s="1475"/>
      <c r="AO272" s="1496"/>
      <c r="AP272" s="1475"/>
      <c r="AQ272" s="1477"/>
      <c r="AR272" s="1479"/>
      <c r="AS272" s="1483"/>
      <c r="AT272" s="451"/>
      <c r="AU272" s="1303" t="str">
        <f>IF(AND(AA270&lt;&gt;7,AC270&lt;&gt;3),"V列に色付け","")</f>
        <v/>
      </c>
      <c r="AV272" s="1304"/>
      <c r="AW272" s="1305"/>
      <c r="AX272" s="574"/>
      <c r="AY272" s="1222" t="str">
        <f>IF(AL272&lt;&gt;"",IF(AM272="○","入力済","未入力"),"")</f>
        <v/>
      </c>
      <c r="AZ272" s="1222"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2" t="str">
        <f>IF(OR(T272="新加算Ⅴ（７）",T272="新加算Ⅴ（９）",T272="新加算Ⅴ（10）",T272="新加算Ⅴ（12）",T272="新加算Ⅴ（13）",T272="新加算Ⅴ（14）"),IF(OR(AO272="○",AO272="令和６年度中に満たす"),"入力済","未入力"),"")</f>
        <v/>
      </c>
      <c r="BB272" s="1222" t="str">
        <f>IF(OR(T272="新加算Ⅰ",T272="新加算Ⅱ",T272="新加算Ⅲ",T272="新加算Ⅴ（１）",T272="新加算Ⅴ（３）",T272="新加算Ⅴ（８）"),IF(OR(AP272="○",AP272="令和６年度中に満たす"),"入力済","未入力"),"")</f>
        <v/>
      </c>
      <c r="BC272" s="1472"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03" t="str">
        <f>IF(OR(T272="新加算Ⅰ",T272="新加算Ⅴ（１）",T272="新加算Ⅴ（２）",T272="新加算Ⅴ（５）",T272="新加算Ⅴ（７）",T272="新加算Ⅴ（10）"),IF(AR272="","未入力","入力済"),"")</f>
        <v/>
      </c>
      <c r="BE272" s="1303" t="str">
        <f>G270</f>
        <v/>
      </c>
      <c r="BF272" s="1303"/>
      <c r="BG272" s="1303"/>
    </row>
    <row r="273" spans="1:59" ht="30" customHeight="1" thickBot="1">
      <c r="A273" s="1268"/>
      <c r="B273" s="1411"/>
      <c r="C273" s="1412"/>
      <c r="D273" s="1412"/>
      <c r="E273" s="1412"/>
      <c r="F273" s="1413"/>
      <c r="G273" s="1253"/>
      <c r="H273" s="1253"/>
      <c r="I273" s="1253"/>
      <c r="J273" s="1416"/>
      <c r="K273" s="1253"/>
      <c r="L273" s="1422"/>
      <c r="M273" s="553" t="str">
        <f>IF('別紙様式2-2（４・５月分）'!P208="","",'別紙様式2-2（４・５月分）'!P208)</f>
        <v/>
      </c>
      <c r="N273" s="1394"/>
      <c r="O273" s="1374"/>
      <c r="P273" s="1426"/>
      <c r="Q273" s="1378"/>
      <c r="R273" s="1509"/>
      <c r="S273" s="1382"/>
      <c r="T273" s="1511"/>
      <c r="U273" s="1507"/>
      <c r="V273" s="1388"/>
      <c r="W273" s="1505"/>
      <c r="X273" s="1364"/>
      <c r="Y273" s="1505"/>
      <c r="Z273" s="1364"/>
      <c r="AA273" s="1505"/>
      <c r="AB273" s="1364"/>
      <c r="AC273" s="1505"/>
      <c r="AD273" s="1364"/>
      <c r="AE273" s="1364"/>
      <c r="AF273" s="1364"/>
      <c r="AG273" s="1360"/>
      <c r="AH273" s="1366"/>
      <c r="AI273" s="1499"/>
      <c r="AJ273" s="1370"/>
      <c r="AK273" s="1501"/>
      <c r="AL273" s="1503"/>
      <c r="AM273" s="1495"/>
      <c r="AN273" s="1476"/>
      <c r="AO273" s="1497"/>
      <c r="AP273" s="1476"/>
      <c r="AQ273" s="1478"/>
      <c r="AR273" s="1480"/>
      <c r="AS273" s="575"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1"/>
      <c r="AU273" s="1303"/>
      <c r="AV273" s="555" t="str">
        <f>IF('別紙様式2-2（４・５月分）'!N208="","",'別紙様式2-2（４・５月分）'!N208)</f>
        <v/>
      </c>
      <c r="AW273" s="1305"/>
      <c r="AX273" s="576"/>
      <c r="AY273" s="1222" t="str">
        <f>IF(OR(T273="新加算Ⅰ",T273="新加算Ⅱ",T273="新加算Ⅲ",T273="新加算Ⅳ",T273="新加算Ⅴ（１）",T273="新加算Ⅴ（２）",T273="新加算Ⅴ（３）",T273="新加算ⅠⅤ（４）",T273="新加算Ⅴ（５）",T273="新加算Ⅴ（６）",T273="新加算Ⅴ（８）",T273="新加算Ⅴ（11）"),IF(AI273="○","","未入力"),"")</f>
        <v/>
      </c>
      <c r="AZ273" s="1222" t="str">
        <f>IF(OR(U273="新加算Ⅰ",U273="新加算Ⅱ",U273="新加算Ⅲ",U273="新加算Ⅳ",U273="新加算Ⅴ（１）",U273="新加算Ⅴ（２）",U273="新加算Ⅴ（３）",U273="新加算ⅠⅤ（４）",U273="新加算Ⅴ（５）",U273="新加算Ⅴ（６）",U273="新加算Ⅴ（８）",U273="新加算Ⅴ（11）"),IF(AJ273="○","","未入力"),"")</f>
        <v/>
      </c>
      <c r="BA273" s="1222" t="str">
        <f>IF(OR(U273="新加算Ⅴ（７）",U273="新加算Ⅴ（９）",U273="新加算Ⅴ（10）",U273="新加算Ⅴ（12）",U273="新加算Ⅴ（13）",U273="新加算Ⅴ（14）"),IF(AK273="○","","未入力"),"")</f>
        <v/>
      </c>
      <c r="BB273" s="1222" t="str">
        <f>IF(OR(U273="新加算Ⅰ",U273="新加算Ⅱ",U273="新加算Ⅲ",U273="新加算Ⅴ（１）",U273="新加算Ⅴ（３）",U273="新加算Ⅴ（８）"),IF(AL273="○","","未入力"),"")</f>
        <v/>
      </c>
      <c r="BC273" s="1472"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03" t="str">
        <f>IF(AND(T273&lt;&gt;"（参考）令和７年度の移行予定",OR(U273="新加算Ⅰ",U273="新加算Ⅴ（１）",U273="新加算Ⅴ（２）",U273="新加算Ⅴ（５）",U273="新加算Ⅴ（７）",U273="新加算Ⅴ（10）")),IF(AN273="","未入力",IF(AN273="いずれも取得していない","要件を満たさない","")),"")</f>
        <v/>
      </c>
      <c r="BE273" s="1303" t="str">
        <f>G270</f>
        <v/>
      </c>
      <c r="BF273" s="1303"/>
      <c r="BG273" s="1303"/>
    </row>
    <row r="274" spans="1:59" ht="30" customHeight="1">
      <c r="A274" s="1293">
        <v>66</v>
      </c>
      <c r="B274" s="1232" t="str">
        <f>IF(基本情報入力シート!C119="","",基本情報入力シート!C119)</f>
        <v/>
      </c>
      <c r="C274" s="1233"/>
      <c r="D274" s="1233"/>
      <c r="E274" s="1233"/>
      <c r="F274" s="1234"/>
      <c r="G274" s="1251" t="str">
        <f>IF(基本情報入力シート!M119="","",基本情報入力シート!M119)</f>
        <v/>
      </c>
      <c r="H274" s="1251" t="str">
        <f>IF(基本情報入力シート!R119="","",基本情報入力シート!R119)</f>
        <v/>
      </c>
      <c r="I274" s="1251" t="str">
        <f>IF(基本情報入力シート!W119="","",基本情報入力シート!W119)</f>
        <v/>
      </c>
      <c r="J274" s="1414" t="str">
        <f>IF(基本情報入力シート!X119="","",基本情報入力シート!X119)</f>
        <v/>
      </c>
      <c r="K274" s="1251" t="str">
        <f>IF(基本情報入力シート!Y119="","",基本情報入力シート!Y119)</f>
        <v/>
      </c>
      <c r="L274" s="1427" t="str">
        <f>IF(基本情報入力シート!AB119="","",基本情報入力シート!AB119)</f>
        <v/>
      </c>
      <c r="M274" s="550" t="str">
        <f>IF('別紙様式2-2（４・５月分）'!P209="","",'別紙様式2-2（４・５月分）'!P209)</f>
        <v/>
      </c>
      <c r="N274" s="1391" t="str">
        <f>IF(SUM('別紙様式2-2（４・５月分）'!Q209:Q211)=0,"",SUM('別紙様式2-2（４・５月分）'!Q209:Q211))</f>
        <v/>
      </c>
      <c r="O274" s="1395" t="str">
        <f>IFERROR(VLOOKUP('別紙様式2-2（４・５月分）'!AQ209,【参考】数式用!$AR$5:$AS$22,2,FALSE),"")</f>
        <v/>
      </c>
      <c r="P274" s="1396"/>
      <c r="Q274" s="1397"/>
      <c r="R274" s="1531" t="str">
        <f>IFERROR(VLOOKUP(K274,【参考】数式用!$A$5:$AB$37,MATCH(O274,【参考】数式用!$B$4:$AB$4,0)+1,0),"")</f>
        <v/>
      </c>
      <c r="S274" s="1403" t="s">
        <v>2102</v>
      </c>
      <c r="T274" s="1527" t="str">
        <f>IF('別紙様式2-3（６月以降分）'!T274="","",'別紙様式2-3（６月以降分）'!T274)</f>
        <v/>
      </c>
      <c r="U274" s="1529" t="str">
        <f>IFERROR(VLOOKUP(K274,【参考】数式用!$A$5:$AB$37,MATCH(T274,【参考】数式用!$B$4:$AB$4,0)+1,0),"")</f>
        <v/>
      </c>
      <c r="V274" s="1409" t="s">
        <v>15</v>
      </c>
      <c r="W274" s="1525">
        <f>'別紙様式2-3（６月以降分）'!W274</f>
        <v>6</v>
      </c>
      <c r="X274" s="1349" t="s">
        <v>10</v>
      </c>
      <c r="Y274" s="1525">
        <f>'別紙様式2-3（６月以降分）'!Y274</f>
        <v>6</v>
      </c>
      <c r="Z274" s="1349" t="s">
        <v>38</v>
      </c>
      <c r="AA274" s="1525">
        <f>'別紙様式2-3（６月以降分）'!AA274</f>
        <v>7</v>
      </c>
      <c r="AB274" s="1349" t="s">
        <v>10</v>
      </c>
      <c r="AC274" s="1525">
        <f>'別紙様式2-3（６月以降分）'!AC274</f>
        <v>3</v>
      </c>
      <c r="AD274" s="1349" t="s">
        <v>2020</v>
      </c>
      <c r="AE274" s="1349" t="s">
        <v>20</v>
      </c>
      <c r="AF274" s="1349">
        <f>IF(W274&gt;=1,(AA274*12+AC274)-(W274*12+Y274)+1,"")</f>
        <v>10</v>
      </c>
      <c r="AG274" s="1351" t="s">
        <v>33</v>
      </c>
      <c r="AH274" s="1517" t="str">
        <f>'別紙様式2-3（６月以降分）'!AH274</f>
        <v/>
      </c>
      <c r="AI274" s="1519" t="str">
        <f>'別紙様式2-3（６月以降分）'!AI274</f>
        <v/>
      </c>
      <c r="AJ274" s="1521">
        <f>'別紙様式2-3（６月以降分）'!AJ274</f>
        <v>0</v>
      </c>
      <c r="AK274" s="1523" t="str">
        <f>IF('別紙様式2-3（６月以降分）'!AK274="","",'別紙様式2-3（６月以降分）'!AK274)</f>
        <v/>
      </c>
      <c r="AL274" s="1512">
        <f>'別紙様式2-3（６月以降分）'!AL274</f>
        <v>0</v>
      </c>
      <c r="AM274" s="1514" t="str">
        <f>IF('別紙様式2-3（６月以降分）'!AM274="","",'別紙様式2-3（６月以降分）'!AM274)</f>
        <v/>
      </c>
      <c r="AN274" s="1333" t="str">
        <f>IF('別紙様式2-3（６月以降分）'!AN274="","",'別紙様式2-3（６月以降分）'!AN274)</f>
        <v/>
      </c>
      <c r="AO274" s="1331" t="str">
        <f>IF('別紙様式2-3（６月以降分）'!AO274="","",'別紙様式2-3（６月以降分）'!AO274)</f>
        <v/>
      </c>
      <c r="AP274" s="1333" t="str">
        <f>IF('別紙様式2-3（６月以降分）'!AP274="","",'別紙様式2-3（６月以降分）'!AP274)</f>
        <v/>
      </c>
      <c r="AQ274" s="1481" t="str">
        <f>IF('別紙様式2-3（６月以降分）'!AQ274="","",'別紙様式2-3（６月以降分）'!AQ274)</f>
        <v/>
      </c>
      <c r="AR274" s="1484" t="str">
        <f>IF('別紙様式2-3（６月以降分）'!AR274="","",'別紙様式2-3（６月以降分）'!AR274)</f>
        <v/>
      </c>
      <c r="AS274" s="570" t="str">
        <f t="shared" ref="AS274" si="448">IF(AU276="","",IF(U276&lt;U274,"！加算の要件上は問題ありませんが、令和６年度当初の新加算の加算率と比較して、移行後の加算率が下がる計画になっています。",""))</f>
        <v/>
      </c>
      <c r="AT274" s="577"/>
      <c r="AU274" s="1301"/>
      <c r="AV274" s="555" t="str">
        <f>IF('別紙様式2-2（４・５月分）'!N209="","",'別紙様式2-2（４・５月分）'!N209)</f>
        <v/>
      </c>
      <c r="AW274" s="1305" t="str">
        <f>IF(SUM('別紙様式2-2（４・５月分）'!O209:O211)=0,"",SUM('別紙様式2-2（４・５月分）'!O209:O211))</f>
        <v/>
      </c>
      <c r="AX274" s="1473" t="str">
        <f>IFERROR(VLOOKUP(K274,【参考】数式用!$AH$2:$AI$34,2,FALSE),"")</f>
        <v/>
      </c>
      <c r="AY274" s="493"/>
      <c r="BD274" s="340"/>
      <c r="BE274" s="1303" t="str">
        <f>G274</f>
        <v/>
      </c>
      <c r="BF274" s="1303"/>
      <c r="BG274" s="1303"/>
    </row>
    <row r="275" spans="1:59" ht="15" customHeight="1">
      <c r="A275" s="1267"/>
      <c r="B275" s="1235"/>
      <c r="C275" s="1236"/>
      <c r="D275" s="1236"/>
      <c r="E275" s="1236"/>
      <c r="F275" s="1237"/>
      <c r="G275" s="1252"/>
      <c r="H275" s="1252"/>
      <c r="I275" s="1252"/>
      <c r="J275" s="1415"/>
      <c r="K275" s="1252"/>
      <c r="L275" s="1421"/>
      <c r="M275" s="1371" t="str">
        <f>IF('別紙様式2-2（４・５月分）'!P210="","",'別紙様式2-2（４・５月分）'!P210)</f>
        <v/>
      </c>
      <c r="N275" s="1392"/>
      <c r="O275" s="1398"/>
      <c r="P275" s="1399"/>
      <c r="Q275" s="1400"/>
      <c r="R275" s="1532"/>
      <c r="S275" s="1404"/>
      <c r="T275" s="1528"/>
      <c r="U275" s="1530"/>
      <c r="V275" s="1410"/>
      <c r="W275" s="1526"/>
      <c r="X275" s="1350"/>
      <c r="Y275" s="1526"/>
      <c r="Z275" s="1350"/>
      <c r="AA275" s="1526"/>
      <c r="AB275" s="1350"/>
      <c r="AC275" s="1526"/>
      <c r="AD275" s="1350"/>
      <c r="AE275" s="1350"/>
      <c r="AF275" s="1350"/>
      <c r="AG275" s="1352"/>
      <c r="AH275" s="1518"/>
      <c r="AI275" s="1520"/>
      <c r="AJ275" s="1522"/>
      <c r="AK275" s="1524"/>
      <c r="AL275" s="1513"/>
      <c r="AM275" s="1515"/>
      <c r="AN275" s="1334"/>
      <c r="AO275" s="1516"/>
      <c r="AP275" s="1334"/>
      <c r="AQ275" s="1482"/>
      <c r="AR275" s="1485"/>
      <c r="AS275" s="1483" t="str">
        <f t="shared" ref="AS275" si="449">IF(AU276="","",IF(OR(AA276="",AA276&lt;&gt;7,AC276="",AC276&lt;&gt;3),"！算定期間の終わりが令和７年３月になっていません。年度内の廃止予定等がなければ、算定対象月を令和７年３月にしてください。",""))</f>
        <v/>
      </c>
      <c r="AT275" s="577"/>
      <c r="AU275" s="1303"/>
      <c r="AV275" s="1304" t="str">
        <f>IF('別紙様式2-2（４・５月分）'!N210="","",'別紙様式2-2（４・５月分）'!N210)</f>
        <v/>
      </c>
      <c r="AW275" s="1305"/>
      <c r="AX275" s="1474"/>
      <c r="AY275" s="430"/>
      <c r="BD275" s="340"/>
      <c r="BE275" s="1303" t="str">
        <f>G274</f>
        <v/>
      </c>
      <c r="BF275" s="1303"/>
      <c r="BG275" s="1303"/>
    </row>
    <row r="276" spans="1:59" ht="15" customHeight="1">
      <c r="A276" s="1295"/>
      <c r="B276" s="1235"/>
      <c r="C276" s="1236"/>
      <c r="D276" s="1236"/>
      <c r="E276" s="1236"/>
      <c r="F276" s="1237"/>
      <c r="G276" s="1252"/>
      <c r="H276" s="1252"/>
      <c r="I276" s="1252"/>
      <c r="J276" s="1415"/>
      <c r="K276" s="1252"/>
      <c r="L276" s="1421"/>
      <c r="M276" s="1372"/>
      <c r="N276" s="1393"/>
      <c r="O276" s="1373" t="s">
        <v>2025</v>
      </c>
      <c r="P276" s="1425" t="str">
        <f>IFERROR(VLOOKUP('別紙様式2-2（４・５月分）'!AQ209,【参考】数式用!$AR$5:$AT$22,3,FALSE),"")</f>
        <v/>
      </c>
      <c r="Q276" s="1377" t="s">
        <v>2036</v>
      </c>
      <c r="R276" s="1508" t="str">
        <f>IFERROR(VLOOKUP(K274,【参考】数式用!$A$5:$AB$37,MATCH(P276,【参考】数式用!$B$4:$AB$4,0)+1,0),"")</f>
        <v/>
      </c>
      <c r="S276" s="1381" t="s">
        <v>2109</v>
      </c>
      <c r="T276" s="1510"/>
      <c r="U276" s="1506" t="str">
        <f>IFERROR(VLOOKUP(K274,【参考】数式用!$A$5:$AB$37,MATCH(T276,【参考】数式用!$B$4:$AB$4,0)+1,0),"")</f>
        <v/>
      </c>
      <c r="V276" s="1387" t="s">
        <v>15</v>
      </c>
      <c r="W276" s="1504"/>
      <c r="X276" s="1363" t="s">
        <v>10</v>
      </c>
      <c r="Y276" s="1504"/>
      <c r="Z276" s="1363" t="s">
        <v>38</v>
      </c>
      <c r="AA276" s="1504"/>
      <c r="AB276" s="1363" t="s">
        <v>10</v>
      </c>
      <c r="AC276" s="1504"/>
      <c r="AD276" s="1363" t="s">
        <v>2020</v>
      </c>
      <c r="AE276" s="1363" t="s">
        <v>20</v>
      </c>
      <c r="AF276" s="1363" t="str">
        <f>IF(W276&gt;=1,(AA276*12+AC276)-(W276*12+Y276)+1,"")</f>
        <v/>
      </c>
      <c r="AG276" s="1359" t="s">
        <v>33</v>
      </c>
      <c r="AH276" s="1365" t="str">
        <f t="shared" ref="AH276" si="450">IFERROR(ROUNDDOWN(ROUND(L274*U276,0),0)*AF276,"")</f>
        <v/>
      </c>
      <c r="AI276" s="1498" t="str">
        <f t="shared" ref="AI276" si="451">IFERROR(ROUNDDOWN(ROUND((L274*(U276-AW274)),0),0)*AF276,"")</f>
        <v/>
      </c>
      <c r="AJ276" s="1369" t="str">
        <f>IFERROR(ROUNDDOWN(ROUNDDOWN(ROUND(L274*VLOOKUP(K274,【参考】数式用!$A$5:$AB$27,MATCH("新加算Ⅳ",【参考】数式用!$B$4:$AB$4,0)+1,0),0),0)*AF276*0.5,0),"")</f>
        <v/>
      </c>
      <c r="AK276" s="1500"/>
      <c r="AL276" s="1502" t="str">
        <f>IFERROR(IF('別紙様式2-2（４・５月分）'!P276="ベア加算","", IF(OR(T276="新加算Ⅰ",T276="新加算Ⅱ",T276="新加算Ⅲ",T276="新加算Ⅳ"),ROUNDDOWN(ROUND(L274*VLOOKUP(K274,【参考】数式用!$A$5:$I$27,MATCH("ベア加算",【参考】数式用!$B$4:$I$4,0)+1,0),0),0)*AF276,"")),"")</f>
        <v/>
      </c>
      <c r="AM276" s="1494"/>
      <c r="AN276" s="1475"/>
      <c r="AO276" s="1496"/>
      <c r="AP276" s="1475"/>
      <c r="AQ276" s="1477"/>
      <c r="AR276" s="1479"/>
      <c r="AS276" s="1483"/>
      <c r="AT276" s="451"/>
      <c r="AU276" s="1303" t="str">
        <f>IF(AND(AA274&lt;&gt;7,AC274&lt;&gt;3),"V列に色付け","")</f>
        <v/>
      </c>
      <c r="AV276" s="1304"/>
      <c r="AW276" s="1305"/>
      <c r="AX276" s="574"/>
      <c r="AY276" s="1222" t="str">
        <f>IF(AL276&lt;&gt;"",IF(AM276="○","入力済","未入力"),"")</f>
        <v/>
      </c>
      <c r="AZ276" s="1222"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2" t="str">
        <f>IF(OR(T276="新加算Ⅴ（７）",T276="新加算Ⅴ（９）",T276="新加算Ⅴ（10）",T276="新加算Ⅴ（12）",T276="新加算Ⅴ（13）",T276="新加算Ⅴ（14）"),IF(OR(AO276="○",AO276="令和６年度中に満たす"),"入力済","未入力"),"")</f>
        <v/>
      </c>
      <c r="BB276" s="1222" t="str">
        <f>IF(OR(T276="新加算Ⅰ",T276="新加算Ⅱ",T276="新加算Ⅲ",T276="新加算Ⅴ（１）",T276="新加算Ⅴ（３）",T276="新加算Ⅴ（８）"),IF(OR(AP276="○",AP276="令和６年度中に満たす"),"入力済","未入力"),"")</f>
        <v/>
      </c>
      <c r="BC276" s="1472"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03" t="str">
        <f>IF(OR(T276="新加算Ⅰ",T276="新加算Ⅴ（１）",T276="新加算Ⅴ（２）",T276="新加算Ⅴ（５）",T276="新加算Ⅴ（７）",T276="新加算Ⅴ（10）"),IF(AR276="","未入力","入力済"),"")</f>
        <v/>
      </c>
      <c r="BE276" s="1303" t="str">
        <f>G274</f>
        <v/>
      </c>
      <c r="BF276" s="1303"/>
      <c r="BG276" s="1303"/>
    </row>
    <row r="277" spans="1:59" ht="30" customHeight="1" thickBot="1">
      <c r="A277" s="1268"/>
      <c r="B277" s="1411"/>
      <c r="C277" s="1412"/>
      <c r="D277" s="1412"/>
      <c r="E277" s="1412"/>
      <c r="F277" s="1413"/>
      <c r="G277" s="1253"/>
      <c r="H277" s="1253"/>
      <c r="I277" s="1253"/>
      <c r="J277" s="1416"/>
      <c r="K277" s="1253"/>
      <c r="L277" s="1422"/>
      <c r="M277" s="553" t="str">
        <f>IF('別紙様式2-2（４・５月分）'!P211="","",'別紙様式2-2（４・５月分）'!P211)</f>
        <v/>
      </c>
      <c r="N277" s="1394"/>
      <c r="O277" s="1374"/>
      <c r="P277" s="1426"/>
      <c r="Q277" s="1378"/>
      <c r="R277" s="1509"/>
      <c r="S277" s="1382"/>
      <c r="T277" s="1511"/>
      <c r="U277" s="1507"/>
      <c r="V277" s="1388"/>
      <c r="W277" s="1505"/>
      <c r="X277" s="1364"/>
      <c r="Y277" s="1505"/>
      <c r="Z277" s="1364"/>
      <c r="AA277" s="1505"/>
      <c r="AB277" s="1364"/>
      <c r="AC277" s="1505"/>
      <c r="AD277" s="1364"/>
      <c r="AE277" s="1364"/>
      <c r="AF277" s="1364"/>
      <c r="AG277" s="1360"/>
      <c r="AH277" s="1366"/>
      <c r="AI277" s="1499"/>
      <c r="AJ277" s="1370"/>
      <c r="AK277" s="1501"/>
      <c r="AL277" s="1503"/>
      <c r="AM277" s="1495"/>
      <c r="AN277" s="1476"/>
      <c r="AO277" s="1497"/>
      <c r="AP277" s="1476"/>
      <c r="AQ277" s="1478"/>
      <c r="AR277" s="1480"/>
      <c r="AS277" s="575"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1"/>
      <c r="AU277" s="1303"/>
      <c r="AV277" s="555" t="str">
        <f>IF('別紙様式2-2（４・５月分）'!N211="","",'別紙様式2-2（４・５月分）'!N211)</f>
        <v/>
      </c>
      <c r="AW277" s="1305"/>
      <c r="AX277" s="576"/>
      <c r="AY277" s="1222" t="str">
        <f>IF(OR(T277="新加算Ⅰ",T277="新加算Ⅱ",T277="新加算Ⅲ",T277="新加算Ⅳ",T277="新加算Ⅴ（１）",T277="新加算Ⅴ（２）",T277="新加算Ⅴ（３）",T277="新加算ⅠⅤ（４）",T277="新加算Ⅴ（５）",T277="新加算Ⅴ（６）",T277="新加算Ⅴ（８）",T277="新加算Ⅴ（11）"),IF(AI277="○","","未入力"),"")</f>
        <v/>
      </c>
      <c r="AZ277" s="1222" t="str">
        <f>IF(OR(U277="新加算Ⅰ",U277="新加算Ⅱ",U277="新加算Ⅲ",U277="新加算Ⅳ",U277="新加算Ⅴ（１）",U277="新加算Ⅴ（２）",U277="新加算Ⅴ（３）",U277="新加算ⅠⅤ（４）",U277="新加算Ⅴ（５）",U277="新加算Ⅴ（６）",U277="新加算Ⅴ（８）",U277="新加算Ⅴ（11）"),IF(AJ277="○","","未入力"),"")</f>
        <v/>
      </c>
      <c r="BA277" s="1222" t="str">
        <f>IF(OR(U277="新加算Ⅴ（７）",U277="新加算Ⅴ（９）",U277="新加算Ⅴ（10）",U277="新加算Ⅴ（12）",U277="新加算Ⅴ（13）",U277="新加算Ⅴ（14）"),IF(AK277="○","","未入力"),"")</f>
        <v/>
      </c>
      <c r="BB277" s="1222" t="str">
        <f>IF(OR(U277="新加算Ⅰ",U277="新加算Ⅱ",U277="新加算Ⅲ",U277="新加算Ⅴ（１）",U277="新加算Ⅴ（３）",U277="新加算Ⅴ（８）"),IF(AL277="○","","未入力"),"")</f>
        <v/>
      </c>
      <c r="BC277" s="1472"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03" t="str">
        <f>IF(AND(T277&lt;&gt;"（参考）令和７年度の移行予定",OR(U277="新加算Ⅰ",U277="新加算Ⅴ（１）",U277="新加算Ⅴ（２）",U277="新加算Ⅴ（５）",U277="新加算Ⅴ（７）",U277="新加算Ⅴ（10）")),IF(AN277="","未入力",IF(AN277="いずれも取得していない","要件を満たさない","")),"")</f>
        <v/>
      </c>
      <c r="BE277" s="1303" t="str">
        <f>G274</f>
        <v/>
      </c>
      <c r="BF277" s="1303"/>
      <c r="BG277" s="1303"/>
    </row>
    <row r="278" spans="1:59" ht="30" customHeight="1">
      <c r="A278" s="1266">
        <v>67</v>
      </c>
      <c r="B278" s="1235" t="str">
        <f>IF(基本情報入力シート!C120="","",基本情報入力シート!C120)</f>
        <v/>
      </c>
      <c r="C278" s="1236"/>
      <c r="D278" s="1236"/>
      <c r="E278" s="1236"/>
      <c r="F278" s="1237"/>
      <c r="G278" s="1252" t="str">
        <f>IF(基本情報入力シート!M120="","",基本情報入力シート!M120)</f>
        <v/>
      </c>
      <c r="H278" s="1252" t="str">
        <f>IF(基本情報入力シート!R120="","",基本情報入力シート!R120)</f>
        <v/>
      </c>
      <c r="I278" s="1252" t="str">
        <f>IF(基本情報入力シート!W120="","",基本情報入力シート!W120)</f>
        <v/>
      </c>
      <c r="J278" s="1415" t="str">
        <f>IF(基本情報入力シート!X120="","",基本情報入力シート!X120)</f>
        <v/>
      </c>
      <c r="K278" s="1252" t="str">
        <f>IF(基本情報入力シート!Y120="","",基本情報入力シート!Y120)</f>
        <v/>
      </c>
      <c r="L278" s="1421" t="str">
        <f>IF(基本情報入力シート!AB120="","",基本情報入力シート!AB120)</f>
        <v/>
      </c>
      <c r="M278" s="550" t="str">
        <f>IF('別紙様式2-2（４・５月分）'!P212="","",'別紙様式2-2（４・５月分）'!P212)</f>
        <v/>
      </c>
      <c r="N278" s="1391" t="str">
        <f>IF(SUM('別紙様式2-2（４・５月分）'!Q212:Q214)=0,"",SUM('別紙様式2-2（４・５月分）'!Q212:Q214))</f>
        <v/>
      </c>
      <c r="O278" s="1395" t="str">
        <f>IFERROR(VLOOKUP('別紙様式2-2（４・５月分）'!AQ212,【参考】数式用!$AR$5:$AS$22,2,FALSE),"")</f>
        <v/>
      </c>
      <c r="P278" s="1396"/>
      <c r="Q278" s="1397"/>
      <c r="R278" s="1531" t="str">
        <f>IFERROR(VLOOKUP(K278,【参考】数式用!$A$5:$AB$37,MATCH(O278,【参考】数式用!$B$4:$AB$4,0)+1,0),"")</f>
        <v/>
      </c>
      <c r="S278" s="1403" t="s">
        <v>2102</v>
      </c>
      <c r="T278" s="1527" t="str">
        <f>IF('別紙様式2-3（６月以降分）'!T278="","",'別紙様式2-3（６月以降分）'!T278)</f>
        <v/>
      </c>
      <c r="U278" s="1529" t="str">
        <f>IFERROR(VLOOKUP(K278,【参考】数式用!$A$5:$AB$37,MATCH(T278,【参考】数式用!$B$4:$AB$4,0)+1,0),"")</f>
        <v/>
      </c>
      <c r="V278" s="1409" t="s">
        <v>15</v>
      </c>
      <c r="W278" s="1525">
        <f>'別紙様式2-3（６月以降分）'!W278</f>
        <v>6</v>
      </c>
      <c r="X278" s="1349" t="s">
        <v>10</v>
      </c>
      <c r="Y278" s="1525">
        <f>'別紙様式2-3（６月以降分）'!Y278</f>
        <v>6</v>
      </c>
      <c r="Z278" s="1349" t="s">
        <v>38</v>
      </c>
      <c r="AA278" s="1525">
        <f>'別紙様式2-3（６月以降分）'!AA278</f>
        <v>7</v>
      </c>
      <c r="AB278" s="1349" t="s">
        <v>10</v>
      </c>
      <c r="AC278" s="1525">
        <f>'別紙様式2-3（６月以降分）'!AC278</f>
        <v>3</v>
      </c>
      <c r="AD278" s="1349" t="s">
        <v>2020</v>
      </c>
      <c r="AE278" s="1349" t="s">
        <v>20</v>
      </c>
      <c r="AF278" s="1349">
        <f>IF(W278&gt;=1,(AA278*12+AC278)-(W278*12+Y278)+1,"")</f>
        <v>10</v>
      </c>
      <c r="AG278" s="1351" t="s">
        <v>33</v>
      </c>
      <c r="AH278" s="1517" t="str">
        <f>'別紙様式2-3（６月以降分）'!AH278</f>
        <v/>
      </c>
      <c r="AI278" s="1519" t="str">
        <f>'別紙様式2-3（６月以降分）'!AI278</f>
        <v/>
      </c>
      <c r="AJ278" s="1521">
        <f>'別紙様式2-3（６月以降分）'!AJ278</f>
        <v>0</v>
      </c>
      <c r="AK278" s="1523" t="str">
        <f>IF('別紙様式2-3（６月以降分）'!AK278="","",'別紙様式2-3（６月以降分）'!AK278)</f>
        <v/>
      </c>
      <c r="AL278" s="1512">
        <f>'別紙様式2-3（６月以降分）'!AL278</f>
        <v>0</v>
      </c>
      <c r="AM278" s="1514" t="str">
        <f>IF('別紙様式2-3（６月以降分）'!AM278="","",'別紙様式2-3（６月以降分）'!AM278)</f>
        <v/>
      </c>
      <c r="AN278" s="1333" t="str">
        <f>IF('別紙様式2-3（６月以降分）'!AN278="","",'別紙様式2-3（６月以降分）'!AN278)</f>
        <v/>
      </c>
      <c r="AO278" s="1331" t="str">
        <f>IF('別紙様式2-3（６月以降分）'!AO278="","",'別紙様式2-3（６月以降分）'!AO278)</f>
        <v/>
      </c>
      <c r="AP278" s="1333" t="str">
        <f>IF('別紙様式2-3（６月以降分）'!AP278="","",'別紙様式2-3（６月以降分）'!AP278)</f>
        <v/>
      </c>
      <c r="AQ278" s="1481" t="str">
        <f>IF('別紙様式2-3（６月以降分）'!AQ278="","",'別紙様式2-3（６月以降分）'!AQ278)</f>
        <v/>
      </c>
      <c r="AR278" s="1484" t="str">
        <f>IF('別紙様式2-3（６月以降分）'!AR278="","",'別紙様式2-3（６月以降分）'!AR278)</f>
        <v/>
      </c>
      <c r="AS278" s="570" t="str">
        <f t="shared" ref="AS278" si="455">IF(AU280="","",IF(U280&lt;U278,"！加算の要件上は問題ありませんが、令和６年度当初の新加算の加算率と比較して、移行後の加算率が下がる計画になっています。",""))</f>
        <v/>
      </c>
      <c r="AT278" s="577"/>
      <c r="AU278" s="1301"/>
      <c r="AV278" s="555" t="str">
        <f>IF('別紙様式2-2（４・５月分）'!N212="","",'別紙様式2-2（４・５月分）'!N212)</f>
        <v/>
      </c>
      <c r="AW278" s="1305" t="str">
        <f>IF(SUM('別紙様式2-2（４・５月分）'!O212:O214)=0,"",SUM('別紙様式2-2（４・５月分）'!O212:O214))</f>
        <v/>
      </c>
      <c r="AX278" s="1473" t="str">
        <f>IFERROR(VLOOKUP(K278,【参考】数式用!$AH$2:$AI$34,2,FALSE),"")</f>
        <v/>
      </c>
      <c r="AY278" s="493"/>
      <c r="BD278" s="340"/>
      <c r="BE278" s="1303" t="str">
        <f>G278</f>
        <v/>
      </c>
      <c r="BF278" s="1303"/>
      <c r="BG278" s="1303"/>
    </row>
    <row r="279" spans="1:59" ht="15" customHeight="1">
      <c r="A279" s="1267"/>
      <c r="B279" s="1235"/>
      <c r="C279" s="1236"/>
      <c r="D279" s="1236"/>
      <c r="E279" s="1236"/>
      <c r="F279" s="1237"/>
      <c r="G279" s="1252"/>
      <c r="H279" s="1252"/>
      <c r="I279" s="1252"/>
      <c r="J279" s="1415"/>
      <c r="K279" s="1252"/>
      <c r="L279" s="1421"/>
      <c r="M279" s="1371" t="str">
        <f>IF('別紙様式2-2（４・５月分）'!P213="","",'別紙様式2-2（４・５月分）'!P213)</f>
        <v/>
      </c>
      <c r="N279" s="1392"/>
      <c r="O279" s="1398"/>
      <c r="P279" s="1399"/>
      <c r="Q279" s="1400"/>
      <c r="R279" s="1532"/>
      <c r="S279" s="1404"/>
      <c r="T279" s="1528"/>
      <c r="U279" s="1530"/>
      <c r="V279" s="1410"/>
      <c r="W279" s="1526"/>
      <c r="X279" s="1350"/>
      <c r="Y279" s="1526"/>
      <c r="Z279" s="1350"/>
      <c r="AA279" s="1526"/>
      <c r="AB279" s="1350"/>
      <c r="AC279" s="1526"/>
      <c r="AD279" s="1350"/>
      <c r="AE279" s="1350"/>
      <c r="AF279" s="1350"/>
      <c r="AG279" s="1352"/>
      <c r="AH279" s="1518"/>
      <c r="AI279" s="1520"/>
      <c r="AJ279" s="1522"/>
      <c r="AK279" s="1524"/>
      <c r="AL279" s="1513"/>
      <c r="AM279" s="1515"/>
      <c r="AN279" s="1334"/>
      <c r="AO279" s="1516"/>
      <c r="AP279" s="1334"/>
      <c r="AQ279" s="1482"/>
      <c r="AR279" s="1485"/>
      <c r="AS279" s="1483" t="str">
        <f t="shared" ref="AS279" si="456">IF(AU280="","",IF(OR(AA280="",AA280&lt;&gt;7,AC280="",AC280&lt;&gt;3),"！算定期間の終わりが令和７年３月になっていません。年度内の廃止予定等がなければ、算定対象月を令和７年３月にしてください。",""))</f>
        <v/>
      </c>
      <c r="AT279" s="577"/>
      <c r="AU279" s="1303"/>
      <c r="AV279" s="1304" t="str">
        <f>IF('別紙様式2-2（４・５月分）'!N213="","",'別紙様式2-2（４・５月分）'!N213)</f>
        <v/>
      </c>
      <c r="AW279" s="1305"/>
      <c r="AX279" s="1474"/>
      <c r="AY279" s="430"/>
      <c r="BD279" s="340"/>
      <c r="BE279" s="1303" t="str">
        <f>G278</f>
        <v/>
      </c>
      <c r="BF279" s="1303"/>
      <c r="BG279" s="1303"/>
    </row>
    <row r="280" spans="1:59" ht="15" customHeight="1">
      <c r="A280" s="1295"/>
      <c r="B280" s="1235"/>
      <c r="C280" s="1236"/>
      <c r="D280" s="1236"/>
      <c r="E280" s="1236"/>
      <c r="F280" s="1237"/>
      <c r="G280" s="1252"/>
      <c r="H280" s="1252"/>
      <c r="I280" s="1252"/>
      <c r="J280" s="1415"/>
      <c r="K280" s="1252"/>
      <c r="L280" s="1421"/>
      <c r="M280" s="1372"/>
      <c r="N280" s="1393"/>
      <c r="O280" s="1373" t="s">
        <v>2025</v>
      </c>
      <c r="P280" s="1425" t="str">
        <f>IFERROR(VLOOKUP('別紙様式2-2（４・５月分）'!AQ212,【参考】数式用!$AR$5:$AT$22,3,FALSE),"")</f>
        <v/>
      </c>
      <c r="Q280" s="1377" t="s">
        <v>2036</v>
      </c>
      <c r="R280" s="1508" t="str">
        <f>IFERROR(VLOOKUP(K278,【参考】数式用!$A$5:$AB$37,MATCH(P280,【参考】数式用!$B$4:$AB$4,0)+1,0),"")</f>
        <v/>
      </c>
      <c r="S280" s="1381" t="s">
        <v>2109</v>
      </c>
      <c r="T280" s="1510"/>
      <c r="U280" s="1506" t="str">
        <f>IFERROR(VLOOKUP(K278,【参考】数式用!$A$5:$AB$37,MATCH(T280,【参考】数式用!$B$4:$AB$4,0)+1,0),"")</f>
        <v/>
      </c>
      <c r="V280" s="1387" t="s">
        <v>15</v>
      </c>
      <c r="W280" s="1504"/>
      <c r="X280" s="1363" t="s">
        <v>10</v>
      </c>
      <c r="Y280" s="1504"/>
      <c r="Z280" s="1363" t="s">
        <v>38</v>
      </c>
      <c r="AA280" s="1504"/>
      <c r="AB280" s="1363" t="s">
        <v>10</v>
      </c>
      <c r="AC280" s="1504"/>
      <c r="AD280" s="1363" t="s">
        <v>2020</v>
      </c>
      <c r="AE280" s="1363" t="s">
        <v>20</v>
      </c>
      <c r="AF280" s="1363" t="str">
        <f>IF(W280&gt;=1,(AA280*12+AC280)-(W280*12+Y280)+1,"")</f>
        <v/>
      </c>
      <c r="AG280" s="1359" t="s">
        <v>33</v>
      </c>
      <c r="AH280" s="1365" t="str">
        <f t="shared" ref="AH280" si="457">IFERROR(ROUNDDOWN(ROUND(L278*U280,0),0)*AF280,"")</f>
        <v/>
      </c>
      <c r="AI280" s="1498" t="str">
        <f t="shared" ref="AI280" si="458">IFERROR(ROUNDDOWN(ROUND((L278*(U280-AW278)),0),0)*AF280,"")</f>
        <v/>
      </c>
      <c r="AJ280" s="1369" t="str">
        <f>IFERROR(ROUNDDOWN(ROUNDDOWN(ROUND(L278*VLOOKUP(K278,【参考】数式用!$A$5:$AB$27,MATCH("新加算Ⅳ",【参考】数式用!$B$4:$AB$4,0)+1,0),0),0)*AF280*0.5,0),"")</f>
        <v/>
      </c>
      <c r="AK280" s="1500"/>
      <c r="AL280" s="1502" t="str">
        <f>IFERROR(IF('別紙様式2-2（４・５月分）'!P280="ベア加算","", IF(OR(T280="新加算Ⅰ",T280="新加算Ⅱ",T280="新加算Ⅲ",T280="新加算Ⅳ"),ROUNDDOWN(ROUND(L278*VLOOKUP(K278,【参考】数式用!$A$5:$I$27,MATCH("ベア加算",【参考】数式用!$B$4:$I$4,0)+1,0),0),0)*AF280,"")),"")</f>
        <v/>
      </c>
      <c r="AM280" s="1494"/>
      <c r="AN280" s="1475"/>
      <c r="AO280" s="1496"/>
      <c r="AP280" s="1475"/>
      <c r="AQ280" s="1477"/>
      <c r="AR280" s="1479"/>
      <c r="AS280" s="1483"/>
      <c r="AT280" s="451"/>
      <c r="AU280" s="1303" t="str">
        <f>IF(AND(AA278&lt;&gt;7,AC278&lt;&gt;3),"V列に色付け","")</f>
        <v/>
      </c>
      <c r="AV280" s="1304"/>
      <c r="AW280" s="1305"/>
      <c r="AX280" s="574"/>
      <c r="AY280" s="1222" t="str">
        <f>IF(AL280&lt;&gt;"",IF(AM280="○","入力済","未入力"),"")</f>
        <v/>
      </c>
      <c r="AZ280" s="1222"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2" t="str">
        <f>IF(OR(T280="新加算Ⅴ（７）",T280="新加算Ⅴ（９）",T280="新加算Ⅴ（10）",T280="新加算Ⅴ（12）",T280="新加算Ⅴ（13）",T280="新加算Ⅴ（14）"),IF(OR(AO280="○",AO280="令和６年度中に満たす"),"入力済","未入力"),"")</f>
        <v/>
      </c>
      <c r="BB280" s="1222" t="str">
        <f>IF(OR(T280="新加算Ⅰ",T280="新加算Ⅱ",T280="新加算Ⅲ",T280="新加算Ⅴ（１）",T280="新加算Ⅴ（３）",T280="新加算Ⅴ（８）"),IF(OR(AP280="○",AP280="令和６年度中に満たす"),"入力済","未入力"),"")</f>
        <v/>
      </c>
      <c r="BC280" s="1472"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03" t="str">
        <f>IF(OR(T280="新加算Ⅰ",T280="新加算Ⅴ（１）",T280="新加算Ⅴ（２）",T280="新加算Ⅴ（５）",T280="新加算Ⅴ（７）",T280="新加算Ⅴ（10）"),IF(AR280="","未入力","入力済"),"")</f>
        <v/>
      </c>
      <c r="BE280" s="1303" t="str">
        <f>G278</f>
        <v/>
      </c>
      <c r="BF280" s="1303"/>
      <c r="BG280" s="1303"/>
    </row>
    <row r="281" spans="1:59" ht="30" customHeight="1" thickBot="1">
      <c r="A281" s="1268"/>
      <c r="B281" s="1411"/>
      <c r="C281" s="1412"/>
      <c r="D281" s="1412"/>
      <c r="E281" s="1412"/>
      <c r="F281" s="1413"/>
      <c r="G281" s="1253"/>
      <c r="H281" s="1253"/>
      <c r="I281" s="1253"/>
      <c r="J281" s="1416"/>
      <c r="K281" s="1253"/>
      <c r="L281" s="1422"/>
      <c r="M281" s="553" t="str">
        <f>IF('別紙様式2-2（４・５月分）'!P214="","",'別紙様式2-2（４・５月分）'!P214)</f>
        <v/>
      </c>
      <c r="N281" s="1394"/>
      <c r="O281" s="1374"/>
      <c r="P281" s="1426"/>
      <c r="Q281" s="1378"/>
      <c r="R281" s="1509"/>
      <c r="S281" s="1382"/>
      <c r="T281" s="1511"/>
      <c r="U281" s="1507"/>
      <c r="V281" s="1388"/>
      <c r="W281" s="1505"/>
      <c r="X281" s="1364"/>
      <c r="Y281" s="1505"/>
      <c r="Z281" s="1364"/>
      <c r="AA281" s="1505"/>
      <c r="AB281" s="1364"/>
      <c r="AC281" s="1505"/>
      <c r="AD281" s="1364"/>
      <c r="AE281" s="1364"/>
      <c r="AF281" s="1364"/>
      <c r="AG281" s="1360"/>
      <c r="AH281" s="1366"/>
      <c r="AI281" s="1499"/>
      <c r="AJ281" s="1370"/>
      <c r="AK281" s="1501"/>
      <c r="AL281" s="1503"/>
      <c r="AM281" s="1495"/>
      <c r="AN281" s="1476"/>
      <c r="AO281" s="1497"/>
      <c r="AP281" s="1476"/>
      <c r="AQ281" s="1478"/>
      <c r="AR281" s="1480"/>
      <c r="AS281" s="575"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1"/>
      <c r="AU281" s="1303"/>
      <c r="AV281" s="555" t="str">
        <f>IF('別紙様式2-2（４・５月分）'!N214="","",'別紙様式2-2（４・５月分）'!N214)</f>
        <v/>
      </c>
      <c r="AW281" s="1305"/>
      <c r="AX281" s="576"/>
      <c r="AY281" s="1222" t="str">
        <f>IF(OR(T281="新加算Ⅰ",T281="新加算Ⅱ",T281="新加算Ⅲ",T281="新加算Ⅳ",T281="新加算Ⅴ（１）",T281="新加算Ⅴ（２）",T281="新加算Ⅴ（３）",T281="新加算ⅠⅤ（４）",T281="新加算Ⅴ（５）",T281="新加算Ⅴ（６）",T281="新加算Ⅴ（８）",T281="新加算Ⅴ（11）"),IF(AI281="○","","未入力"),"")</f>
        <v/>
      </c>
      <c r="AZ281" s="1222" t="str">
        <f>IF(OR(U281="新加算Ⅰ",U281="新加算Ⅱ",U281="新加算Ⅲ",U281="新加算Ⅳ",U281="新加算Ⅴ（１）",U281="新加算Ⅴ（２）",U281="新加算Ⅴ（３）",U281="新加算ⅠⅤ（４）",U281="新加算Ⅴ（５）",U281="新加算Ⅴ（６）",U281="新加算Ⅴ（８）",U281="新加算Ⅴ（11）"),IF(AJ281="○","","未入力"),"")</f>
        <v/>
      </c>
      <c r="BA281" s="1222" t="str">
        <f>IF(OR(U281="新加算Ⅴ（７）",U281="新加算Ⅴ（９）",U281="新加算Ⅴ（10）",U281="新加算Ⅴ（12）",U281="新加算Ⅴ（13）",U281="新加算Ⅴ（14）"),IF(AK281="○","","未入力"),"")</f>
        <v/>
      </c>
      <c r="BB281" s="1222" t="str">
        <f>IF(OR(U281="新加算Ⅰ",U281="新加算Ⅱ",U281="新加算Ⅲ",U281="新加算Ⅴ（１）",U281="新加算Ⅴ（３）",U281="新加算Ⅴ（８）"),IF(AL281="○","","未入力"),"")</f>
        <v/>
      </c>
      <c r="BC281" s="1472"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03" t="str">
        <f>IF(AND(T281&lt;&gt;"（参考）令和７年度の移行予定",OR(U281="新加算Ⅰ",U281="新加算Ⅴ（１）",U281="新加算Ⅴ（２）",U281="新加算Ⅴ（５）",U281="新加算Ⅴ（７）",U281="新加算Ⅴ（10）")),IF(AN281="","未入力",IF(AN281="いずれも取得していない","要件を満たさない","")),"")</f>
        <v/>
      </c>
      <c r="BE281" s="1303" t="str">
        <f>G278</f>
        <v/>
      </c>
      <c r="BF281" s="1303"/>
      <c r="BG281" s="1303"/>
    </row>
    <row r="282" spans="1:59" ht="30" customHeight="1">
      <c r="A282" s="1293">
        <v>68</v>
      </c>
      <c r="B282" s="1232" t="str">
        <f>IF(基本情報入力シート!C121="","",基本情報入力シート!C121)</f>
        <v/>
      </c>
      <c r="C282" s="1233"/>
      <c r="D282" s="1233"/>
      <c r="E282" s="1233"/>
      <c r="F282" s="1234"/>
      <c r="G282" s="1251" t="str">
        <f>IF(基本情報入力シート!M121="","",基本情報入力シート!M121)</f>
        <v/>
      </c>
      <c r="H282" s="1251" t="str">
        <f>IF(基本情報入力シート!R121="","",基本情報入力シート!R121)</f>
        <v/>
      </c>
      <c r="I282" s="1251" t="str">
        <f>IF(基本情報入力シート!W121="","",基本情報入力シート!W121)</f>
        <v/>
      </c>
      <c r="J282" s="1414" t="str">
        <f>IF(基本情報入力シート!X121="","",基本情報入力シート!X121)</f>
        <v/>
      </c>
      <c r="K282" s="1251" t="str">
        <f>IF(基本情報入力シート!Y121="","",基本情報入力シート!Y121)</f>
        <v/>
      </c>
      <c r="L282" s="1427" t="str">
        <f>IF(基本情報入力シート!AB121="","",基本情報入力シート!AB121)</f>
        <v/>
      </c>
      <c r="M282" s="550" t="str">
        <f>IF('別紙様式2-2（４・５月分）'!P215="","",'別紙様式2-2（４・５月分）'!P215)</f>
        <v/>
      </c>
      <c r="N282" s="1391" t="str">
        <f>IF(SUM('別紙様式2-2（４・５月分）'!Q215:Q217)=0,"",SUM('別紙様式2-2（４・５月分）'!Q215:Q217))</f>
        <v/>
      </c>
      <c r="O282" s="1395" t="str">
        <f>IFERROR(VLOOKUP('別紙様式2-2（４・５月分）'!AQ215,【参考】数式用!$AR$5:$AS$22,2,FALSE),"")</f>
        <v/>
      </c>
      <c r="P282" s="1396"/>
      <c r="Q282" s="1397"/>
      <c r="R282" s="1531" t="str">
        <f>IFERROR(VLOOKUP(K282,【参考】数式用!$A$5:$AB$37,MATCH(O282,【参考】数式用!$B$4:$AB$4,0)+1,0),"")</f>
        <v/>
      </c>
      <c r="S282" s="1403" t="s">
        <v>2102</v>
      </c>
      <c r="T282" s="1527" t="str">
        <f>IF('別紙様式2-3（６月以降分）'!T282="","",'別紙様式2-3（６月以降分）'!T282)</f>
        <v/>
      </c>
      <c r="U282" s="1529" t="str">
        <f>IFERROR(VLOOKUP(K282,【参考】数式用!$A$5:$AB$37,MATCH(T282,【参考】数式用!$B$4:$AB$4,0)+1,0),"")</f>
        <v/>
      </c>
      <c r="V282" s="1409" t="s">
        <v>15</v>
      </c>
      <c r="W282" s="1525">
        <f>'別紙様式2-3（６月以降分）'!W282</f>
        <v>6</v>
      </c>
      <c r="X282" s="1349" t="s">
        <v>10</v>
      </c>
      <c r="Y282" s="1525">
        <f>'別紙様式2-3（６月以降分）'!Y282</f>
        <v>6</v>
      </c>
      <c r="Z282" s="1349" t="s">
        <v>38</v>
      </c>
      <c r="AA282" s="1525">
        <f>'別紙様式2-3（６月以降分）'!AA282</f>
        <v>7</v>
      </c>
      <c r="AB282" s="1349" t="s">
        <v>10</v>
      </c>
      <c r="AC282" s="1525">
        <f>'別紙様式2-3（６月以降分）'!AC282</f>
        <v>3</v>
      </c>
      <c r="AD282" s="1349" t="s">
        <v>2020</v>
      </c>
      <c r="AE282" s="1349" t="s">
        <v>20</v>
      </c>
      <c r="AF282" s="1349">
        <f>IF(W282&gt;=1,(AA282*12+AC282)-(W282*12+Y282)+1,"")</f>
        <v>10</v>
      </c>
      <c r="AG282" s="1351" t="s">
        <v>33</v>
      </c>
      <c r="AH282" s="1517" t="str">
        <f>'別紙様式2-3（６月以降分）'!AH282</f>
        <v/>
      </c>
      <c r="AI282" s="1519" t="str">
        <f>'別紙様式2-3（６月以降分）'!AI282</f>
        <v/>
      </c>
      <c r="AJ282" s="1521">
        <f>'別紙様式2-3（６月以降分）'!AJ282</f>
        <v>0</v>
      </c>
      <c r="AK282" s="1523" t="str">
        <f>IF('別紙様式2-3（６月以降分）'!AK282="","",'別紙様式2-3（６月以降分）'!AK282)</f>
        <v/>
      </c>
      <c r="AL282" s="1512">
        <f>'別紙様式2-3（６月以降分）'!AL282</f>
        <v>0</v>
      </c>
      <c r="AM282" s="1514" t="str">
        <f>IF('別紙様式2-3（６月以降分）'!AM282="","",'別紙様式2-3（６月以降分）'!AM282)</f>
        <v/>
      </c>
      <c r="AN282" s="1333" t="str">
        <f>IF('別紙様式2-3（６月以降分）'!AN282="","",'別紙様式2-3（６月以降分）'!AN282)</f>
        <v/>
      </c>
      <c r="AO282" s="1331" t="str">
        <f>IF('別紙様式2-3（６月以降分）'!AO282="","",'別紙様式2-3（６月以降分）'!AO282)</f>
        <v/>
      </c>
      <c r="AP282" s="1333" t="str">
        <f>IF('別紙様式2-3（６月以降分）'!AP282="","",'別紙様式2-3（６月以降分）'!AP282)</f>
        <v/>
      </c>
      <c r="AQ282" s="1481" t="str">
        <f>IF('別紙様式2-3（６月以降分）'!AQ282="","",'別紙様式2-3（６月以降分）'!AQ282)</f>
        <v/>
      </c>
      <c r="AR282" s="1484" t="str">
        <f>IF('別紙様式2-3（６月以降分）'!AR282="","",'別紙様式2-3（６月以降分）'!AR282)</f>
        <v/>
      </c>
      <c r="AS282" s="570" t="str">
        <f t="shared" ref="AS282" si="462">IF(AU284="","",IF(U284&lt;U282,"！加算の要件上は問題ありませんが、令和６年度当初の新加算の加算率と比較して、移行後の加算率が下がる計画になっています。",""))</f>
        <v/>
      </c>
      <c r="AT282" s="577"/>
      <c r="AU282" s="1301"/>
      <c r="AV282" s="555" t="str">
        <f>IF('別紙様式2-2（４・５月分）'!N215="","",'別紙様式2-2（４・５月分）'!N215)</f>
        <v/>
      </c>
      <c r="AW282" s="1305" t="str">
        <f>IF(SUM('別紙様式2-2（４・５月分）'!O215:O217)=0,"",SUM('別紙様式2-2（４・５月分）'!O215:O217))</f>
        <v/>
      </c>
      <c r="AX282" s="1473" t="str">
        <f>IFERROR(VLOOKUP(K282,【参考】数式用!$AH$2:$AI$34,2,FALSE),"")</f>
        <v/>
      </c>
      <c r="AY282" s="493"/>
      <c r="BD282" s="340"/>
      <c r="BE282" s="1303" t="str">
        <f>G282</f>
        <v/>
      </c>
      <c r="BF282" s="1303"/>
      <c r="BG282" s="1303"/>
    </row>
    <row r="283" spans="1:59" ht="15" customHeight="1">
      <c r="A283" s="1267"/>
      <c r="B283" s="1235"/>
      <c r="C283" s="1236"/>
      <c r="D283" s="1236"/>
      <c r="E283" s="1236"/>
      <c r="F283" s="1237"/>
      <c r="G283" s="1252"/>
      <c r="H283" s="1252"/>
      <c r="I283" s="1252"/>
      <c r="J283" s="1415"/>
      <c r="K283" s="1252"/>
      <c r="L283" s="1421"/>
      <c r="M283" s="1371" t="str">
        <f>IF('別紙様式2-2（４・５月分）'!P216="","",'別紙様式2-2（４・５月分）'!P216)</f>
        <v/>
      </c>
      <c r="N283" s="1392"/>
      <c r="O283" s="1398"/>
      <c r="P283" s="1399"/>
      <c r="Q283" s="1400"/>
      <c r="R283" s="1532"/>
      <c r="S283" s="1404"/>
      <c r="T283" s="1528"/>
      <c r="U283" s="1530"/>
      <c r="V283" s="1410"/>
      <c r="W283" s="1526"/>
      <c r="X283" s="1350"/>
      <c r="Y283" s="1526"/>
      <c r="Z283" s="1350"/>
      <c r="AA283" s="1526"/>
      <c r="AB283" s="1350"/>
      <c r="AC283" s="1526"/>
      <c r="AD283" s="1350"/>
      <c r="AE283" s="1350"/>
      <c r="AF283" s="1350"/>
      <c r="AG283" s="1352"/>
      <c r="AH283" s="1518"/>
      <c r="AI283" s="1520"/>
      <c r="AJ283" s="1522"/>
      <c r="AK283" s="1524"/>
      <c r="AL283" s="1513"/>
      <c r="AM283" s="1515"/>
      <c r="AN283" s="1334"/>
      <c r="AO283" s="1516"/>
      <c r="AP283" s="1334"/>
      <c r="AQ283" s="1482"/>
      <c r="AR283" s="1485"/>
      <c r="AS283" s="1483" t="str">
        <f t="shared" ref="AS283" si="463">IF(AU284="","",IF(OR(AA284="",AA284&lt;&gt;7,AC284="",AC284&lt;&gt;3),"！算定期間の終わりが令和７年３月になっていません。年度内の廃止予定等がなければ、算定対象月を令和７年３月にしてください。",""))</f>
        <v/>
      </c>
      <c r="AT283" s="577"/>
      <c r="AU283" s="1303"/>
      <c r="AV283" s="1304" t="str">
        <f>IF('別紙様式2-2（４・５月分）'!N216="","",'別紙様式2-2（４・５月分）'!N216)</f>
        <v/>
      </c>
      <c r="AW283" s="1305"/>
      <c r="AX283" s="1474"/>
      <c r="AY283" s="430"/>
      <c r="BD283" s="340"/>
      <c r="BE283" s="1303" t="str">
        <f>G282</f>
        <v/>
      </c>
      <c r="BF283" s="1303"/>
      <c r="BG283" s="1303"/>
    </row>
    <row r="284" spans="1:59" ht="15" customHeight="1">
      <c r="A284" s="1295"/>
      <c r="B284" s="1235"/>
      <c r="C284" s="1236"/>
      <c r="D284" s="1236"/>
      <c r="E284" s="1236"/>
      <c r="F284" s="1237"/>
      <c r="G284" s="1252"/>
      <c r="H284" s="1252"/>
      <c r="I284" s="1252"/>
      <c r="J284" s="1415"/>
      <c r="K284" s="1252"/>
      <c r="L284" s="1421"/>
      <c r="M284" s="1372"/>
      <c r="N284" s="1393"/>
      <c r="O284" s="1373" t="s">
        <v>2025</v>
      </c>
      <c r="P284" s="1425" t="str">
        <f>IFERROR(VLOOKUP('別紙様式2-2（４・５月分）'!AQ215,【参考】数式用!$AR$5:$AT$22,3,FALSE),"")</f>
        <v/>
      </c>
      <c r="Q284" s="1377" t="s">
        <v>2036</v>
      </c>
      <c r="R284" s="1508" t="str">
        <f>IFERROR(VLOOKUP(K282,【参考】数式用!$A$5:$AB$37,MATCH(P284,【参考】数式用!$B$4:$AB$4,0)+1,0),"")</f>
        <v/>
      </c>
      <c r="S284" s="1381" t="s">
        <v>2109</v>
      </c>
      <c r="T284" s="1510"/>
      <c r="U284" s="1506" t="str">
        <f>IFERROR(VLOOKUP(K282,【参考】数式用!$A$5:$AB$37,MATCH(T284,【参考】数式用!$B$4:$AB$4,0)+1,0),"")</f>
        <v/>
      </c>
      <c r="V284" s="1387" t="s">
        <v>15</v>
      </c>
      <c r="W284" s="1504"/>
      <c r="X284" s="1363" t="s">
        <v>10</v>
      </c>
      <c r="Y284" s="1504"/>
      <c r="Z284" s="1363" t="s">
        <v>38</v>
      </c>
      <c r="AA284" s="1504"/>
      <c r="AB284" s="1363" t="s">
        <v>10</v>
      </c>
      <c r="AC284" s="1504"/>
      <c r="AD284" s="1363" t="s">
        <v>2020</v>
      </c>
      <c r="AE284" s="1363" t="s">
        <v>20</v>
      </c>
      <c r="AF284" s="1363" t="str">
        <f>IF(W284&gt;=1,(AA284*12+AC284)-(W284*12+Y284)+1,"")</f>
        <v/>
      </c>
      <c r="AG284" s="1359" t="s">
        <v>33</v>
      </c>
      <c r="AH284" s="1365" t="str">
        <f t="shared" ref="AH284" si="464">IFERROR(ROUNDDOWN(ROUND(L282*U284,0),0)*AF284,"")</f>
        <v/>
      </c>
      <c r="AI284" s="1498" t="str">
        <f t="shared" ref="AI284" si="465">IFERROR(ROUNDDOWN(ROUND((L282*(U284-AW282)),0),0)*AF284,"")</f>
        <v/>
      </c>
      <c r="AJ284" s="1369" t="str">
        <f>IFERROR(ROUNDDOWN(ROUNDDOWN(ROUND(L282*VLOOKUP(K282,【参考】数式用!$A$5:$AB$27,MATCH("新加算Ⅳ",【参考】数式用!$B$4:$AB$4,0)+1,0),0),0)*AF284*0.5,0),"")</f>
        <v/>
      </c>
      <c r="AK284" s="1500"/>
      <c r="AL284" s="1502" t="str">
        <f>IFERROR(IF('別紙様式2-2（４・５月分）'!P284="ベア加算","", IF(OR(T284="新加算Ⅰ",T284="新加算Ⅱ",T284="新加算Ⅲ",T284="新加算Ⅳ"),ROUNDDOWN(ROUND(L282*VLOOKUP(K282,【参考】数式用!$A$5:$I$27,MATCH("ベア加算",【参考】数式用!$B$4:$I$4,0)+1,0),0),0)*AF284,"")),"")</f>
        <v/>
      </c>
      <c r="AM284" s="1494"/>
      <c r="AN284" s="1475"/>
      <c r="AO284" s="1496"/>
      <c r="AP284" s="1475"/>
      <c r="AQ284" s="1477"/>
      <c r="AR284" s="1479"/>
      <c r="AS284" s="1483"/>
      <c r="AT284" s="451"/>
      <c r="AU284" s="1303" t="str">
        <f>IF(AND(AA282&lt;&gt;7,AC282&lt;&gt;3),"V列に色付け","")</f>
        <v/>
      </c>
      <c r="AV284" s="1304"/>
      <c r="AW284" s="1305"/>
      <c r="AX284" s="574"/>
      <c r="AY284" s="1222" t="str">
        <f>IF(AL284&lt;&gt;"",IF(AM284="○","入力済","未入力"),"")</f>
        <v/>
      </c>
      <c r="AZ284" s="1222"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2" t="str">
        <f>IF(OR(T284="新加算Ⅴ（７）",T284="新加算Ⅴ（９）",T284="新加算Ⅴ（10）",T284="新加算Ⅴ（12）",T284="新加算Ⅴ（13）",T284="新加算Ⅴ（14）"),IF(OR(AO284="○",AO284="令和６年度中に満たす"),"入力済","未入力"),"")</f>
        <v/>
      </c>
      <c r="BB284" s="1222" t="str">
        <f>IF(OR(T284="新加算Ⅰ",T284="新加算Ⅱ",T284="新加算Ⅲ",T284="新加算Ⅴ（１）",T284="新加算Ⅴ（３）",T284="新加算Ⅴ（８）"),IF(OR(AP284="○",AP284="令和６年度中に満たす"),"入力済","未入力"),"")</f>
        <v/>
      </c>
      <c r="BC284" s="1472"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03" t="str">
        <f>IF(OR(T284="新加算Ⅰ",T284="新加算Ⅴ（１）",T284="新加算Ⅴ（２）",T284="新加算Ⅴ（５）",T284="新加算Ⅴ（７）",T284="新加算Ⅴ（10）"),IF(AR284="","未入力","入力済"),"")</f>
        <v/>
      </c>
      <c r="BE284" s="1303" t="str">
        <f>G282</f>
        <v/>
      </c>
      <c r="BF284" s="1303"/>
      <c r="BG284" s="1303"/>
    </row>
    <row r="285" spans="1:59" ht="30" customHeight="1" thickBot="1">
      <c r="A285" s="1268"/>
      <c r="B285" s="1411"/>
      <c r="C285" s="1412"/>
      <c r="D285" s="1412"/>
      <c r="E285" s="1412"/>
      <c r="F285" s="1413"/>
      <c r="G285" s="1253"/>
      <c r="H285" s="1253"/>
      <c r="I285" s="1253"/>
      <c r="J285" s="1416"/>
      <c r="K285" s="1253"/>
      <c r="L285" s="1422"/>
      <c r="M285" s="553" t="str">
        <f>IF('別紙様式2-2（４・５月分）'!P217="","",'別紙様式2-2（４・５月分）'!P217)</f>
        <v/>
      </c>
      <c r="N285" s="1394"/>
      <c r="O285" s="1374"/>
      <c r="P285" s="1426"/>
      <c r="Q285" s="1378"/>
      <c r="R285" s="1509"/>
      <c r="S285" s="1382"/>
      <c r="T285" s="1511"/>
      <c r="U285" s="1507"/>
      <c r="V285" s="1388"/>
      <c r="W285" s="1505"/>
      <c r="X285" s="1364"/>
      <c r="Y285" s="1505"/>
      <c r="Z285" s="1364"/>
      <c r="AA285" s="1505"/>
      <c r="AB285" s="1364"/>
      <c r="AC285" s="1505"/>
      <c r="AD285" s="1364"/>
      <c r="AE285" s="1364"/>
      <c r="AF285" s="1364"/>
      <c r="AG285" s="1360"/>
      <c r="AH285" s="1366"/>
      <c r="AI285" s="1499"/>
      <c r="AJ285" s="1370"/>
      <c r="AK285" s="1501"/>
      <c r="AL285" s="1503"/>
      <c r="AM285" s="1495"/>
      <c r="AN285" s="1476"/>
      <c r="AO285" s="1497"/>
      <c r="AP285" s="1476"/>
      <c r="AQ285" s="1478"/>
      <c r="AR285" s="1480"/>
      <c r="AS285" s="575"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1"/>
      <c r="AU285" s="1303"/>
      <c r="AV285" s="555" t="str">
        <f>IF('別紙様式2-2（４・５月分）'!N217="","",'別紙様式2-2（４・５月分）'!N217)</f>
        <v/>
      </c>
      <c r="AW285" s="1305"/>
      <c r="AX285" s="576"/>
      <c r="AY285" s="1222" t="str">
        <f>IF(OR(T285="新加算Ⅰ",T285="新加算Ⅱ",T285="新加算Ⅲ",T285="新加算Ⅳ",T285="新加算Ⅴ（１）",T285="新加算Ⅴ（２）",T285="新加算Ⅴ（３）",T285="新加算ⅠⅤ（４）",T285="新加算Ⅴ（５）",T285="新加算Ⅴ（６）",T285="新加算Ⅴ（８）",T285="新加算Ⅴ（11）"),IF(AI285="○","","未入力"),"")</f>
        <v/>
      </c>
      <c r="AZ285" s="1222" t="str">
        <f>IF(OR(U285="新加算Ⅰ",U285="新加算Ⅱ",U285="新加算Ⅲ",U285="新加算Ⅳ",U285="新加算Ⅴ（１）",U285="新加算Ⅴ（２）",U285="新加算Ⅴ（３）",U285="新加算ⅠⅤ（４）",U285="新加算Ⅴ（５）",U285="新加算Ⅴ（６）",U285="新加算Ⅴ（８）",U285="新加算Ⅴ（11）"),IF(AJ285="○","","未入力"),"")</f>
        <v/>
      </c>
      <c r="BA285" s="1222" t="str">
        <f>IF(OR(U285="新加算Ⅴ（７）",U285="新加算Ⅴ（９）",U285="新加算Ⅴ（10）",U285="新加算Ⅴ（12）",U285="新加算Ⅴ（13）",U285="新加算Ⅴ（14）"),IF(AK285="○","","未入力"),"")</f>
        <v/>
      </c>
      <c r="BB285" s="1222" t="str">
        <f>IF(OR(U285="新加算Ⅰ",U285="新加算Ⅱ",U285="新加算Ⅲ",U285="新加算Ⅴ（１）",U285="新加算Ⅴ（３）",U285="新加算Ⅴ（８）"),IF(AL285="○","","未入力"),"")</f>
        <v/>
      </c>
      <c r="BC285" s="1472"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03" t="str">
        <f>IF(AND(T285&lt;&gt;"（参考）令和７年度の移行予定",OR(U285="新加算Ⅰ",U285="新加算Ⅴ（１）",U285="新加算Ⅴ（２）",U285="新加算Ⅴ（５）",U285="新加算Ⅴ（７）",U285="新加算Ⅴ（10）")),IF(AN285="","未入力",IF(AN285="いずれも取得していない","要件を満たさない","")),"")</f>
        <v/>
      </c>
      <c r="BE285" s="1303" t="str">
        <f>G282</f>
        <v/>
      </c>
      <c r="BF285" s="1303"/>
      <c r="BG285" s="1303"/>
    </row>
    <row r="286" spans="1:59" ht="30" customHeight="1">
      <c r="A286" s="1266">
        <v>69</v>
      </c>
      <c r="B286" s="1235" t="str">
        <f>IF(基本情報入力シート!C122="","",基本情報入力シート!C122)</f>
        <v/>
      </c>
      <c r="C286" s="1236"/>
      <c r="D286" s="1236"/>
      <c r="E286" s="1236"/>
      <c r="F286" s="1237"/>
      <c r="G286" s="1252" t="str">
        <f>IF(基本情報入力シート!M122="","",基本情報入力シート!M122)</f>
        <v/>
      </c>
      <c r="H286" s="1252" t="str">
        <f>IF(基本情報入力シート!R122="","",基本情報入力シート!R122)</f>
        <v/>
      </c>
      <c r="I286" s="1252" t="str">
        <f>IF(基本情報入力シート!W122="","",基本情報入力シート!W122)</f>
        <v/>
      </c>
      <c r="J286" s="1415" t="str">
        <f>IF(基本情報入力シート!X122="","",基本情報入力シート!X122)</f>
        <v/>
      </c>
      <c r="K286" s="1252" t="str">
        <f>IF(基本情報入力シート!Y122="","",基本情報入力シート!Y122)</f>
        <v/>
      </c>
      <c r="L286" s="1421" t="str">
        <f>IF(基本情報入力シート!AB122="","",基本情報入力シート!AB122)</f>
        <v/>
      </c>
      <c r="M286" s="550" t="str">
        <f>IF('別紙様式2-2（４・５月分）'!P218="","",'別紙様式2-2（４・５月分）'!P218)</f>
        <v/>
      </c>
      <c r="N286" s="1391" t="str">
        <f>IF(SUM('別紙様式2-2（４・５月分）'!Q218:Q220)=0,"",SUM('別紙様式2-2（４・５月分）'!Q218:Q220))</f>
        <v/>
      </c>
      <c r="O286" s="1395" t="str">
        <f>IFERROR(VLOOKUP('別紙様式2-2（４・５月分）'!AQ218,【参考】数式用!$AR$5:$AS$22,2,FALSE),"")</f>
        <v/>
      </c>
      <c r="P286" s="1396"/>
      <c r="Q286" s="1397"/>
      <c r="R286" s="1531" t="str">
        <f>IFERROR(VLOOKUP(K286,【参考】数式用!$A$5:$AB$37,MATCH(O286,【参考】数式用!$B$4:$AB$4,0)+1,0),"")</f>
        <v/>
      </c>
      <c r="S286" s="1403" t="s">
        <v>2102</v>
      </c>
      <c r="T286" s="1527" t="str">
        <f>IF('別紙様式2-3（６月以降分）'!T286="","",'別紙様式2-3（６月以降分）'!T286)</f>
        <v/>
      </c>
      <c r="U286" s="1529" t="str">
        <f>IFERROR(VLOOKUP(K286,【参考】数式用!$A$5:$AB$37,MATCH(T286,【参考】数式用!$B$4:$AB$4,0)+1,0),"")</f>
        <v/>
      </c>
      <c r="V286" s="1409" t="s">
        <v>15</v>
      </c>
      <c r="W286" s="1525">
        <f>'別紙様式2-3（６月以降分）'!W286</f>
        <v>6</v>
      </c>
      <c r="X286" s="1349" t="s">
        <v>10</v>
      </c>
      <c r="Y286" s="1525">
        <f>'別紙様式2-3（６月以降分）'!Y286</f>
        <v>6</v>
      </c>
      <c r="Z286" s="1349" t="s">
        <v>38</v>
      </c>
      <c r="AA286" s="1525">
        <f>'別紙様式2-3（６月以降分）'!AA286</f>
        <v>7</v>
      </c>
      <c r="AB286" s="1349" t="s">
        <v>10</v>
      </c>
      <c r="AC286" s="1525">
        <f>'別紙様式2-3（６月以降分）'!AC286</f>
        <v>3</v>
      </c>
      <c r="AD286" s="1349" t="s">
        <v>2020</v>
      </c>
      <c r="AE286" s="1349" t="s">
        <v>20</v>
      </c>
      <c r="AF286" s="1349">
        <f>IF(W286&gt;=1,(AA286*12+AC286)-(W286*12+Y286)+1,"")</f>
        <v>10</v>
      </c>
      <c r="AG286" s="1351" t="s">
        <v>33</v>
      </c>
      <c r="AH286" s="1517" t="str">
        <f>'別紙様式2-3（６月以降分）'!AH286</f>
        <v/>
      </c>
      <c r="AI286" s="1519" t="str">
        <f>'別紙様式2-3（６月以降分）'!AI286</f>
        <v/>
      </c>
      <c r="AJ286" s="1521">
        <f>'別紙様式2-3（６月以降分）'!AJ286</f>
        <v>0</v>
      </c>
      <c r="AK286" s="1523" t="str">
        <f>IF('別紙様式2-3（６月以降分）'!AK286="","",'別紙様式2-3（６月以降分）'!AK286)</f>
        <v/>
      </c>
      <c r="AL286" s="1512">
        <f>'別紙様式2-3（６月以降分）'!AL286</f>
        <v>0</v>
      </c>
      <c r="AM286" s="1514" t="str">
        <f>IF('別紙様式2-3（６月以降分）'!AM286="","",'別紙様式2-3（６月以降分）'!AM286)</f>
        <v/>
      </c>
      <c r="AN286" s="1333" t="str">
        <f>IF('別紙様式2-3（６月以降分）'!AN286="","",'別紙様式2-3（６月以降分）'!AN286)</f>
        <v/>
      </c>
      <c r="AO286" s="1331" t="str">
        <f>IF('別紙様式2-3（６月以降分）'!AO286="","",'別紙様式2-3（６月以降分）'!AO286)</f>
        <v/>
      </c>
      <c r="AP286" s="1333" t="str">
        <f>IF('別紙様式2-3（６月以降分）'!AP286="","",'別紙様式2-3（６月以降分）'!AP286)</f>
        <v/>
      </c>
      <c r="AQ286" s="1481" t="str">
        <f>IF('別紙様式2-3（６月以降分）'!AQ286="","",'別紙様式2-3（６月以降分）'!AQ286)</f>
        <v/>
      </c>
      <c r="AR286" s="1484" t="str">
        <f>IF('別紙様式2-3（６月以降分）'!AR286="","",'別紙様式2-3（６月以降分）'!AR286)</f>
        <v/>
      </c>
      <c r="AS286" s="570" t="str">
        <f t="shared" ref="AS286" si="469">IF(AU288="","",IF(U288&lt;U286,"！加算の要件上は問題ありませんが、令和６年度当初の新加算の加算率と比較して、移行後の加算率が下がる計画になっています。",""))</f>
        <v/>
      </c>
      <c r="AT286" s="577"/>
      <c r="AU286" s="1301"/>
      <c r="AV286" s="555" t="str">
        <f>IF('別紙様式2-2（４・５月分）'!N218="","",'別紙様式2-2（４・５月分）'!N218)</f>
        <v/>
      </c>
      <c r="AW286" s="1305" t="str">
        <f>IF(SUM('別紙様式2-2（４・５月分）'!O218:O220)=0,"",SUM('別紙様式2-2（４・５月分）'!O218:O220))</f>
        <v/>
      </c>
      <c r="AX286" s="1473" t="str">
        <f>IFERROR(VLOOKUP(K286,【参考】数式用!$AH$2:$AI$34,2,FALSE),"")</f>
        <v/>
      </c>
      <c r="AY286" s="493"/>
      <c r="BD286" s="340"/>
      <c r="BE286" s="1303" t="str">
        <f>G286</f>
        <v/>
      </c>
      <c r="BF286" s="1303"/>
      <c r="BG286" s="1303"/>
    </row>
    <row r="287" spans="1:59" ht="15" customHeight="1">
      <c r="A287" s="1267"/>
      <c r="B287" s="1235"/>
      <c r="C287" s="1236"/>
      <c r="D287" s="1236"/>
      <c r="E287" s="1236"/>
      <c r="F287" s="1237"/>
      <c r="G287" s="1252"/>
      <c r="H287" s="1252"/>
      <c r="I287" s="1252"/>
      <c r="J287" s="1415"/>
      <c r="K287" s="1252"/>
      <c r="L287" s="1421"/>
      <c r="M287" s="1371" t="str">
        <f>IF('別紙様式2-2（４・５月分）'!P219="","",'別紙様式2-2（４・５月分）'!P219)</f>
        <v/>
      </c>
      <c r="N287" s="1392"/>
      <c r="O287" s="1398"/>
      <c r="P287" s="1399"/>
      <c r="Q287" s="1400"/>
      <c r="R287" s="1532"/>
      <c r="S287" s="1404"/>
      <c r="T287" s="1528"/>
      <c r="U287" s="1530"/>
      <c r="V287" s="1410"/>
      <c r="W287" s="1526"/>
      <c r="X287" s="1350"/>
      <c r="Y287" s="1526"/>
      <c r="Z287" s="1350"/>
      <c r="AA287" s="1526"/>
      <c r="AB287" s="1350"/>
      <c r="AC287" s="1526"/>
      <c r="AD287" s="1350"/>
      <c r="AE287" s="1350"/>
      <c r="AF287" s="1350"/>
      <c r="AG287" s="1352"/>
      <c r="AH287" s="1518"/>
      <c r="AI287" s="1520"/>
      <c r="AJ287" s="1522"/>
      <c r="AK287" s="1524"/>
      <c r="AL287" s="1513"/>
      <c r="AM287" s="1515"/>
      <c r="AN287" s="1334"/>
      <c r="AO287" s="1516"/>
      <c r="AP287" s="1334"/>
      <c r="AQ287" s="1482"/>
      <c r="AR287" s="1485"/>
      <c r="AS287" s="1483" t="str">
        <f t="shared" ref="AS287" si="470">IF(AU288="","",IF(OR(AA288="",AA288&lt;&gt;7,AC288="",AC288&lt;&gt;3),"！算定期間の終わりが令和７年３月になっていません。年度内の廃止予定等がなければ、算定対象月を令和７年３月にしてください。",""))</f>
        <v/>
      </c>
      <c r="AT287" s="577"/>
      <c r="AU287" s="1303"/>
      <c r="AV287" s="1304" t="str">
        <f>IF('別紙様式2-2（４・５月分）'!N219="","",'別紙様式2-2（４・５月分）'!N219)</f>
        <v/>
      </c>
      <c r="AW287" s="1305"/>
      <c r="AX287" s="1474"/>
      <c r="AY287" s="430"/>
      <c r="BD287" s="340"/>
      <c r="BE287" s="1303" t="str">
        <f>G286</f>
        <v/>
      </c>
      <c r="BF287" s="1303"/>
      <c r="BG287" s="1303"/>
    </row>
    <row r="288" spans="1:59" ht="15" customHeight="1">
      <c r="A288" s="1295"/>
      <c r="B288" s="1235"/>
      <c r="C288" s="1236"/>
      <c r="D288" s="1236"/>
      <c r="E288" s="1236"/>
      <c r="F288" s="1237"/>
      <c r="G288" s="1252"/>
      <c r="H288" s="1252"/>
      <c r="I288" s="1252"/>
      <c r="J288" s="1415"/>
      <c r="K288" s="1252"/>
      <c r="L288" s="1421"/>
      <c r="M288" s="1372"/>
      <c r="N288" s="1393"/>
      <c r="O288" s="1373" t="s">
        <v>2025</v>
      </c>
      <c r="P288" s="1425" t="str">
        <f>IFERROR(VLOOKUP('別紙様式2-2（４・５月分）'!AQ218,【参考】数式用!$AR$5:$AT$22,3,FALSE),"")</f>
        <v/>
      </c>
      <c r="Q288" s="1377" t="s">
        <v>2036</v>
      </c>
      <c r="R288" s="1508" t="str">
        <f>IFERROR(VLOOKUP(K286,【参考】数式用!$A$5:$AB$37,MATCH(P288,【参考】数式用!$B$4:$AB$4,0)+1,0),"")</f>
        <v/>
      </c>
      <c r="S288" s="1381" t="s">
        <v>2109</v>
      </c>
      <c r="T288" s="1510"/>
      <c r="U288" s="1506" t="str">
        <f>IFERROR(VLOOKUP(K286,【参考】数式用!$A$5:$AB$37,MATCH(T288,【参考】数式用!$B$4:$AB$4,0)+1,0),"")</f>
        <v/>
      </c>
      <c r="V288" s="1387" t="s">
        <v>15</v>
      </c>
      <c r="W288" s="1504"/>
      <c r="X288" s="1363" t="s">
        <v>10</v>
      </c>
      <c r="Y288" s="1504"/>
      <c r="Z288" s="1363" t="s">
        <v>38</v>
      </c>
      <c r="AA288" s="1504"/>
      <c r="AB288" s="1363" t="s">
        <v>10</v>
      </c>
      <c r="AC288" s="1504"/>
      <c r="AD288" s="1363" t="s">
        <v>2020</v>
      </c>
      <c r="AE288" s="1363" t="s">
        <v>20</v>
      </c>
      <c r="AF288" s="1363" t="str">
        <f>IF(W288&gt;=1,(AA288*12+AC288)-(W288*12+Y288)+1,"")</f>
        <v/>
      </c>
      <c r="AG288" s="1359" t="s">
        <v>33</v>
      </c>
      <c r="AH288" s="1365" t="str">
        <f t="shared" ref="AH288" si="471">IFERROR(ROUNDDOWN(ROUND(L286*U288,0),0)*AF288,"")</f>
        <v/>
      </c>
      <c r="AI288" s="1498" t="str">
        <f t="shared" ref="AI288" si="472">IFERROR(ROUNDDOWN(ROUND((L286*(U288-AW286)),0),0)*AF288,"")</f>
        <v/>
      </c>
      <c r="AJ288" s="1369" t="str">
        <f>IFERROR(ROUNDDOWN(ROUNDDOWN(ROUND(L286*VLOOKUP(K286,【参考】数式用!$A$5:$AB$27,MATCH("新加算Ⅳ",【参考】数式用!$B$4:$AB$4,0)+1,0),0),0)*AF288*0.5,0),"")</f>
        <v/>
      </c>
      <c r="AK288" s="1500"/>
      <c r="AL288" s="1502" t="str">
        <f>IFERROR(IF('別紙様式2-2（４・５月分）'!P288="ベア加算","", IF(OR(T288="新加算Ⅰ",T288="新加算Ⅱ",T288="新加算Ⅲ",T288="新加算Ⅳ"),ROUNDDOWN(ROUND(L286*VLOOKUP(K286,【参考】数式用!$A$5:$I$27,MATCH("ベア加算",【参考】数式用!$B$4:$I$4,0)+1,0),0),0)*AF288,"")),"")</f>
        <v/>
      </c>
      <c r="AM288" s="1494"/>
      <c r="AN288" s="1475"/>
      <c r="AO288" s="1496"/>
      <c r="AP288" s="1475"/>
      <c r="AQ288" s="1477"/>
      <c r="AR288" s="1479"/>
      <c r="AS288" s="1483"/>
      <c r="AT288" s="451"/>
      <c r="AU288" s="1303" t="str">
        <f>IF(AND(AA286&lt;&gt;7,AC286&lt;&gt;3),"V列に色付け","")</f>
        <v/>
      </c>
      <c r="AV288" s="1304"/>
      <c r="AW288" s="1305"/>
      <c r="AX288" s="574"/>
      <c r="AY288" s="1222" t="str">
        <f>IF(AL288&lt;&gt;"",IF(AM288="○","入力済","未入力"),"")</f>
        <v/>
      </c>
      <c r="AZ288" s="1222"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2" t="str">
        <f>IF(OR(T288="新加算Ⅴ（７）",T288="新加算Ⅴ（９）",T288="新加算Ⅴ（10）",T288="新加算Ⅴ（12）",T288="新加算Ⅴ（13）",T288="新加算Ⅴ（14）"),IF(OR(AO288="○",AO288="令和６年度中に満たす"),"入力済","未入力"),"")</f>
        <v/>
      </c>
      <c r="BB288" s="1222" t="str">
        <f>IF(OR(T288="新加算Ⅰ",T288="新加算Ⅱ",T288="新加算Ⅲ",T288="新加算Ⅴ（１）",T288="新加算Ⅴ（３）",T288="新加算Ⅴ（８）"),IF(OR(AP288="○",AP288="令和６年度中に満たす"),"入力済","未入力"),"")</f>
        <v/>
      </c>
      <c r="BC288" s="1472"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03" t="str">
        <f>IF(OR(T288="新加算Ⅰ",T288="新加算Ⅴ（１）",T288="新加算Ⅴ（２）",T288="新加算Ⅴ（５）",T288="新加算Ⅴ（７）",T288="新加算Ⅴ（10）"),IF(AR288="","未入力","入力済"),"")</f>
        <v/>
      </c>
      <c r="BE288" s="1303" t="str">
        <f>G286</f>
        <v/>
      </c>
      <c r="BF288" s="1303"/>
      <c r="BG288" s="1303"/>
    </row>
    <row r="289" spans="1:59" ht="30" customHeight="1" thickBot="1">
      <c r="A289" s="1268"/>
      <c r="B289" s="1411"/>
      <c r="C289" s="1412"/>
      <c r="D289" s="1412"/>
      <c r="E289" s="1412"/>
      <c r="F289" s="1413"/>
      <c r="G289" s="1253"/>
      <c r="H289" s="1253"/>
      <c r="I289" s="1253"/>
      <c r="J289" s="1416"/>
      <c r="K289" s="1253"/>
      <c r="L289" s="1422"/>
      <c r="M289" s="553" t="str">
        <f>IF('別紙様式2-2（４・５月分）'!P220="","",'別紙様式2-2（４・５月分）'!P220)</f>
        <v/>
      </c>
      <c r="N289" s="1394"/>
      <c r="O289" s="1374"/>
      <c r="P289" s="1426"/>
      <c r="Q289" s="1378"/>
      <c r="R289" s="1509"/>
      <c r="S289" s="1382"/>
      <c r="T289" s="1511"/>
      <c r="U289" s="1507"/>
      <c r="V289" s="1388"/>
      <c r="W289" s="1505"/>
      <c r="X289" s="1364"/>
      <c r="Y289" s="1505"/>
      <c r="Z289" s="1364"/>
      <c r="AA289" s="1505"/>
      <c r="AB289" s="1364"/>
      <c r="AC289" s="1505"/>
      <c r="AD289" s="1364"/>
      <c r="AE289" s="1364"/>
      <c r="AF289" s="1364"/>
      <c r="AG289" s="1360"/>
      <c r="AH289" s="1366"/>
      <c r="AI289" s="1499"/>
      <c r="AJ289" s="1370"/>
      <c r="AK289" s="1501"/>
      <c r="AL289" s="1503"/>
      <c r="AM289" s="1495"/>
      <c r="AN289" s="1476"/>
      <c r="AO289" s="1497"/>
      <c r="AP289" s="1476"/>
      <c r="AQ289" s="1478"/>
      <c r="AR289" s="1480"/>
      <c r="AS289" s="575"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1"/>
      <c r="AU289" s="1303"/>
      <c r="AV289" s="555" t="str">
        <f>IF('別紙様式2-2（４・５月分）'!N220="","",'別紙様式2-2（４・５月分）'!N220)</f>
        <v/>
      </c>
      <c r="AW289" s="1305"/>
      <c r="AX289" s="576"/>
      <c r="AY289" s="1222" t="str">
        <f>IF(OR(T289="新加算Ⅰ",T289="新加算Ⅱ",T289="新加算Ⅲ",T289="新加算Ⅳ",T289="新加算Ⅴ（１）",T289="新加算Ⅴ（２）",T289="新加算Ⅴ（３）",T289="新加算ⅠⅤ（４）",T289="新加算Ⅴ（５）",T289="新加算Ⅴ（６）",T289="新加算Ⅴ（８）",T289="新加算Ⅴ（11）"),IF(AI289="○","","未入力"),"")</f>
        <v/>
      </c>
      <c r="AZ289" s="1222" t="str">
        <f>IF(OR(U289="新加算Ⅰ",U289="新加算Ⅱ",U289="新加算Ⅲ",U289="新加算Ⅳ",U289="新加算Ⅴ（１）",U289="新加算Ⅴ（２）",U289="新加算Ⅴ（３）",U289="新加算ⅠⅤ（４）",U289="新加算Ⅴ（５）",U289="新加算Ⅴ（６）",U289="新加算Ⅴ（８）",U289="新加算Ⅴ（11）"),IF(AJ289="○","","未入力"),"")</f>
        <v/>
      </c>
      <c r="BA289" s="1222" t="str">
        <f>IF(OR(U289="新加算Ⅴ（７）",U289="新加算Ⅴ（９）",U289="新加算Ⅴ（10）",U289="新加算Ⅴ（12）",U289="新加算Ⅴ（13）",U289="新加算Ⅴ（14）"),IF(AK289="○","","未入力"),"")</f>
        <v/>
      </c>
      <c r="BB289" s="1222" t="str">
        <f>IF(OR(U289="新加算Ⅰ",U289="新加算Ⅱ",U289="新加算Ⅲ",U289="新加算Ⅴ（１）",U289="新加算Ⅴ（３）",U289="新加算Ⅴ（８）"),IF(AL289="○","","未入力"),"")</f>
        <v/>
      </c>
      <c r="BC289" s="1472"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03" t="str">
        <f>IF(AND(T289&lt;&gt;"（参考）令和７年度の移行予定",OR(U289="新加算Ⅰ",U289="新加算Ⅴ（１）",U289="新加算Ⅴ（２）",U289="新加算Ⅴ（５）",U289="新加算Ⅴ（７）",U289="新加算Ⅴ（10）")),IF(AN289="","未入力",IF(AN289="いずれも取得していない","要件を満たさない","")),"")</f>
        <v/>
      </c>
      <c r="BE289" s="1303" t="str">
        <f>G286</f>
        <v/>
      </c>
      <c r="BF289" s="1303"/>
      <c r="BG289" s="1303"/>
    </row>
    <row r="290" spans="1:59" ht="30" customHeight="1">
      <c r="A290" s="1293">
        <v>70</v>
      </c>
      <c r="B290" s="1232" t="str">
        <f>IF(基本情報入力シート!C123="","",基本情報入力シート!C123)</f>
        <v/>
      </c>
      <c r="C290" s="1233"/>
      <c r="D290" s="1233"/>
      <c r="E290" s="1233"/>
      <c r="F290" s="1234"/>
      <c r="G290" s="1251" t="str">
        <f>IF(基本情報入力シート!M123="","",基本情報入力シート!M123)</f>
        <v/>
      </c>
      <c r="H290" s="1251" t="str">
        <f>IF(基本情報入力シート!R123="","",基本情報入力シート!R123)</f>
        <v/>
      </c>
      <c r="I290" s="1251" t="str">
        <f>IF(基本情報入力シート!W123="","",基本情報入力シート!W123)</f>
        <v/>
      </c>
      <c r="J290" s="1414" t="str">
        <f>IF(基本情報入力シート!X123="","",基本情報入力シート!X123)</f>
        <v/>
      </c>
      <c r="K290" s="1251" t="str">
        <f>IF(基本情報入力シート!Y123="","",基本情報入力シート!Y123)</f>
        <v/>
      </c>
      <c r="L290" s="1427" t="str">
        <f>IF(基本情報入力シート!AB123="","",基本情報入力シート!AB123)</f>
        <v/>
      </c>
      <c r="M290" s="550" t="str">
        <f>IF('別紙様式2-2（４・５月分）'!P221="","",'別紙様式2-2（４・５月分）'!P221)</f>
        <v/>
      </c>
      <c r="N290" s="1391" t="str">
        <f>IF(SUM('別紙様式2-2（４・５月分）'!Q221:Q223)=0,"",SUM('別紙様式2-2（４・５月分）'!Q221:Q223))</f>
        <v/>
      </c>
      <c r="O290" s="1395" t="str">
        <f>IFERROR(VLOOKUP('別紙様式2-2（４・５月分）'!AQ221,【参考】数式用!$AR$5:$AS$22,2,FALSE),"")</f>
        <v/>
      </c>
      <c r="P290" s="1396"/>
      <c r="Q290" s="1397"/>
      <c r="R290" s="1531" t="str">
        <f>IFERROR(VLOOKUP(K290,【参考】数式用!$A$5:$AB$37,MATCH(O290,【参考】数式用!$B$4:$AB$4,0)+1,0),"")</f>
        <v/>
      </c>
      <c r="S290" s="1403" t="s">
        <v>2102</v>
      </c>
      <c r="T290" s="1527" t="str">
        <f>IF('別紙様式2-3（６月以降分）'!T290="","",'別紙様式2-3（６月以降分）'!T290)</f>
        <v/>
      </c>
      <c r="U290" s="1529" t="str">
        <f>IFERROR(VLOOKUP(K290,【参考】数式用!$A$5:$AB$37,MATCH(T290,【参考】数式用!$B$4:$AB$4,0)+1,0),"")</f>
        <v/>
      </c>
      <c r="V290" s="1409" t="s">
        <v>15</v>
      </c>
      <c r="W290" s="1525">
        <f>'別紙様式2-3（６月以降分）'!W290</f>
        <v>6</v>
      </c>
      <c r="X290" s="1349" t="s">
        <v>10</v>
      </c>
      <c r="Y290" s="1525">
        <f>'別紙様式2-3（６月以降分）'!Y290</f>
        <v>6</v>
      </c>
      <c r="Z290" s="1349" t="s">
        <v>38</v>
      </c>
      <c r="AA290" s="1525">
        <f>'別紙様式2-3（６月以降分）'!AA290</f>
        <v>7</v>
      </c>
      <c r="AB290" s="1349" t="s">
        <v>10</v>
      </c>
      <c r="AC290" s="1525">
        <f>'別紙様式2-3（６月以降分）'!AC290</f>
        <v>3</v>
      </c>
      <c r="AD290" s="1349" t="s">
        <v>2020</v>
      </c>
      <c r="AE290" s="1349" t="s">
        <v>20</v>
      </c>
      <c r="AF290" s="1349">
        <f>IF(W290&gt;=1,(AA290*12+AC290)-(W290*12+Y290)+1,"")</f>
        <v>10</v>
      </c>
      <c r="AG290" s="1351" t="s">
        <v>33</v>
      </c>
      <c r="AH290" s="1517" t="str">
        <f>'別紙様式2-3（６月以降分）'!AH290</f>
        <v/>
      </c>
      <c r="AI290" s="1519" t="str">
        <f>'別紙様式2-3（６月以降分）'!AI290</f>
        <v/>
      </c>
      <c r="AJ290" s="1521">
        <f>'別紙様式2-3（６月以降分）'!AJ290</f>
        <v>0</v>
      </c>
      <c r="AK290" s="1523" t="str">
        <f>IF('別紙様式2-3（６月以降分）'!AK290="","",'別紙様式2-3（６月以降分）'!AK290)</f>
        <v/>
      </c>
      <c r="AL290" s="1512">
        <f>'別紙様式2-3（６月以降分）'!AL290</f>
        <v>0</v>
      </c>
      <c r="AM290" s="1514" t="str">
        <f>IF('別紙様式2-3（６月以降分）'!AM290="","",'別紙様式2-3（６月以降分）'!AM290)</f>
        <v/>
      </c>
      <c r="AN290" s="1333" t="str">
        <f>IF('別紙様式2-3（６月以降分）'!AN290="","",'別紙様式2-3（６月以降分）'!AN290)</f>
        <v/>
      </c>
      <c r="AO290" s="1331" t="str">
        <f>IF('別紙様式2-3（６月以降分）'!AO290="","",'別紙様式2-3（６月以降分）'!AO290)</f>
        <v/>
      </c>
      <c r="AP290" s="1333" t="str">
        <f>IF('別紙様式2-3（６月以降分）'!AP290="","",'別紙様式2-3（６月以降分）'!AP290)</f>
        <v/>
      </c>
      <c r="AQ290" s="1481" t="str">
        <f>IF('別紙様式2-3（６月以降分）'!AQ290="","",'別紙様式2-3（６月以降分）'!AQ290)</f>
        <v/>
      </c>
      <c r="AR290" s="1484" t="str">
        <f>IF('別紙様式2-3（６月以降分）'!AR290="","",'別紙様式2-3（６月以降分）'!AR290)</f>
        <v/>
      </c>
      <c r="AS290" s="570" t="str">
        <f t="shared" ref="AS290" si="476">IF(AU292="","",IF(U292&lt;U290,"！加算の要件上は問題ありませんが、令和６年度当初の新加算の加算率と比較して、移行後の加算率が下がる計画になっています。",""))</f>
        <v/>
      </c>
      <c r="AT290" s="577"/>
      <c r="AU290" s="1301"/>
      <c r="AV290" s="555" t="str">
        <f>IF('別紙様式2-2（４・５月分）'!N221="","",'別紙様式2-2（４・５月分）'!N221)</f>
        <v/>
      </c>
      <c r="AW290" s="1305" t="str">
        <f>IF(SUM('別紙様式2-2（４・５月分）'!O221:O223)=0,"",SUM('別紙様式2-2（４・５月分）'!O221:O223))</f>
        <v/>
      </c>
      <c r="AX290" s="1473" t="str">
        <f>IFERROR(VLOOKUP(K290,【参考】数式用!$AH$2:$AI$34,2,FALSE),"")</f>
        <v/>
      </c>
      <c r="AY290" s="493"/>
      <c r="BD290" s="340"/>
      <c r="BE290" s="1303" t="str">
        <f>G290</f>
        <v/>
      </c>
      <c r="BF290" s="1303"/>
      <c r="BG290" s="1303"/>
    </row>
    <row r="291" spans="1:59" ht="15" customHeight="1">
      <c r="A291" s="1267"/>
      <c r="B291" s="1235"/>
      <c r="C291" s="1236"/>
      <c r="D291" s="1236"/>
      <c r="E291" s="1236"/>
      <c r="F291" s="1237"/>
      <c r="G291" s="1252"/>
      <c r="H291" s="1252"/>
      <c r="I291" s="1252"/>
      <c r="J291" s="1415"/>
      <c r="K291" s="1252"/>
      <c r="L291" s="1421"/>
      <c r="M291" s="1371" t="str">
        <f>IF('別紙様式2-2（４・５月分）'!P222="","",'別紙様式2-2（４・５月分）'!P222)</f>
        <v/>
      </c>
      <c r="N291" s="1392"/>
      <c r="O291" s="1398"/>
      <c r="P291" s="1399"/>
      <c r="Q291" s="1400"/>
      <c r="R291" s="1532"/>
      <c r="S291" s="1404"/>
      <c r="T291" s="1528"/>
      <c r="U291" s="1530"/>
      <c r="V291" s="1410"/>
      <c r="W291" s="1526"/>
      <c r="X291" s="1350"/>
      <c r="Y291" s="1526"/>
      <c r="Z291" s="1350"/>
      <c r="AA291" s="1526"/>
      <c r="AB291" s="1350"/>
      <c r="AC291" s="1526"/>
      <c r="AD291" s="1350"/>
      <c r="AE291" s="1350"/>
      <c r="AF291" s="1350"/>
      <c r="AG291" s="1352"/>
      <c r="AH291" s="1518"/>
      <c r="AI291" s="1520"/>
      <c r="AJ291" s="1522"/>
      <c r="AK291" s="1524"/>
      <c r="AL291" s="1513"/>
      <c r="AM291" s="1515"/>
      <c r="AN291" s="1334"/>
      <c r="AO291" s="1516"/>
      <c r="AP291" s="1334"/>
      <c r="AQ291" s="1482"/>
      <c r="AR291" s="1485"/>
      <c r="AS291" s="1483" t="str">
        <f t="shared" ref="AS291" si="477">IF(AU292="","",IF(OR(AA292="",AA292&lt;&gt;7,AC292="",AC292&lt;&gt;3),"！算定期間の終わりが令和７年３月になっていません。年度内の廃止予定等がなければ、算定対象月を令和７年３月にしてください。",""))</f>
        <v/>
      </c>
      <c r="AT291" s="577"/>
      <c r="AU291" s="1303"/>
      <c r="AV291" s="1304" t="str">
        <f>IF('別紙様式2-2（４・５月分）'!N222="","",'別紙様式2-2（４・５月分）'!N222)</f>
        <v/>
      </c>
      <c r="AW291" s="1305"/>
      <c r="AX291" s="1474"/>
      <c r="AY291" s="430"/>
      <c r="BD291" s="340"/>
      <c r="BE291" s="1303" t="str">
        <f>G290</f>
        <v/>
      </c>
      <c r="BF291" s="1303"/>
      <c r="BG291" s="1303"/>
    </row>
    <row r="292" spans="1:59" ht="15" customHeight="1">
      <c r="A292" s="1295"/>
      <c r="B292" s="1235"/>
      <c r="C292" s="1236"/>
      <c r="D292" s="1236"/>
      <c r="E292" s="1236"/>
      <c r="F292" s="1237"/>
      <c r="G292" s="1252"/>
      <c r="H292" s="1252"/>
      <c r="I292" s="1252"/>
      <c r="J292" s="1415"/>
      <c r="K292" s="1252"/>
      <c r="L292" s="1421"/>
      <c r="M292" s="1372"/>
      <c r="N292" s="1393"/>
      <c r="O292" s="1373" t="s">
        <v>2025</v>
      </c>
      <c r="P292" s="1425" t="str">
        <f>IFERROR(VLOOKUP('別紙様式2-2（４・５月分）'!AQ221,【参考】数式用!$AR$5:$AT$22,3,FALSE),"")</f>
        <v/>
      </c>
      <c r="Q292" s="1377" t="s">
        <v>2036</v>
      </c>
      <c r="R292" s="1508" t="str">
        <f>IFERROR(VLOOKUP(K290,【参考】数式用!$A$5:$AB$37,MATCH(P292,【参考】数式用!$B$4:$AB$4,0)+1,0),"")</f>
        <v/>
      </c>
      <c r="S292" s="1381" t="s">
        <v>2109</v>
      </c>
      <c r="T292" s="1510"/>
      <c r="U292" s="1506" t="str">
        <f>IFERROR(VLOOKUP(K290,【参考】数式用!$A$5:$AB$37,MATCH(T292,【参考】数式用!$B$4:$AB$4,0)+1,0),"")</f>
        <v/>
      </c>
      <c r="V292" s="1387" t="s">
        <v>15</v>
      </c>
      <c r="W292" s="1504"/>
      <c r="X292" s="1363" t="s">
        <v>10</v>
      </c>
      <c r="Y292" s="1504"/>
      <c r="Z292" s="1363" t="s">
        <v>38</v>
      </c>
      <c r="AA292" s="1504"/>
      <c r="AB292" s="1363" t="s">
        <v>10</v>
      </c>
      <c r="AC292" s="1504"/>
      <c r="AD292" s="1363" t="s">
        <v>2020</v>
      </c>
      <c r="AE292" s="1363" t="s">
        <v>20</v>
      </c>
      <c r="AF292" s="1363" t="str">
        <f>IF(W292&gt;=1,(AA292*12+AC292)-(W292*12+Y292)+1,"")</f>
        <v/>
      </c>
      <c r="AG292" s="1359" t="s">
        <v>33</v>
      </c>
      <c r="AH292" s="1365" t="str">
        <f t="shared" ref="AH292" si="478">IFERROR(ROUNDDOWN(ROUND(L290*U292,0),0)*AF292,"")</f>
        <v/>
      </c>
      <c r="AI292" s="1498" t="str">
        <f t="shared" ref="AI292" si="479">IFERROR(ROUNDDOWN(ROUND((L290*(U292-AW290)),0),0)*AF292,"")</f>
        <v/>
      </c>
      <c r="AJ292" s="1369" t="str">
        <f>IFERROR(ROUNDDOWN(ROUNDDOWN(ROUND(L290*VLOOKUP(K290,【参考】数式用!$A$5:$AB$27,MATCH("新加算Ⅳ",【参考】数式用!$B$4:$AB$4,0)+1,0),0),0)*AF292*0.5,0),"")</f>
        <v/>
      </c>
      <c r="AK292" s="1500"/>
      <c r="AL292" s="1502" t="str">
        <f>IFERROR(IF('別紙様式2-2（４・５月分）'!P292="ベア加算","", IF(OR(T292="新加算Ⅰ",T292="新加算Ⅱ",T292="新加算Ⅲ",T292="新加算Ⅳ"),ROUNDDOWN(ROUND(L290*VLOOKUP(K290,【参考】数式用!$A$5:$I$27,MATCH("ベア加算",【参考】数式用!$B$4:$I$4,0)+1,0),0),0)*AF292,"")),"")</f>
        <v/>
      </c>
      <c r="AM292" s="1494"/>
      <c r="AN292" s="1475"/>
      <c r="AO292" s="1496"/>
      <c r="AP292" s="1475"/>
      <c r="AQ292" s="1477"/>
      <c r="AR292" s="1479"/>
      <c r="AS292" s="1483"/>
      <c r="AT292" s="451"/>
      <c r="AU292" s="1303" t="str">
        <f>IF(AND(AA290&lt;&gt;7,AC290&lt;&gt;3),"V列に色付け","")</f>
        <v/>
      </c>
      <c r="AV292" s="1304"/>
      <c r="AW292" s="1305"/>
      <c r="AX292" s="574"/>
      <c r="AY292" s="1222" t="str">
        <f>IF(AL292&lt;&gt;"",IF(AM292="○","入力済","未入力"),"")</f>
        <v/>
      </c>
      <c r="AZ292" s="1222"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2" t="str">
        <f>IF(OR(T292="新加算Ⅴ（７）",T292="新加算Ⅴ（９）",T292="新加算Ⅴ（10）",T292="新加算Ⅴ（12）",T292="新加算Ⅴ（13）",T292="新加算Ⅴ（14）"),IF(OR(AO292="○",AO292="令和６年度中に満たす"),"入力済","未入力"),"")</f>
        <v/>
      </c>
      <c r="BB292" s="1222" t="str">
        <f>IF(OR(T292="新加算Ⅰ",T292="新加算Ⅱ",T292="新加算Ⅲ",T292="新加算Ⅴ（１）",T292="新加算Ⅴ（３）",T292="新加算Ⅴ（８）"),IF(OR(AP292="○",AP292="令和６年度中に満たす"),"入力済","未入力"),"")</f>
        <v/>
      </c>
      <c r="BC292" s="1472"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03" t="str">
        <f>IF(OR(T292="新加算Ⅰ",T292="新加算Ⅴ（１）",T292="新加算Ⅴ（２）",T292="新加算Ⅴ（５）",T292="新加算Ⅴ（７）",T292="新加算Ⅴ（10）"),IF(AR292="","未入力","入力済"),"")</f>
        <v/>
      </c>
      <c r="BE292" s="1303" t="str">
        <f>G290</f>
        <v/>
      </c>
      <c r="BF292" s="1303"/>
      <c r="BG292" s="1303"/>
    </row>
    <row r="293" spans="1:59" ht="30" customHeight="1" thickBot="1">
      <c r="A293" s="1268"/>
      <c r="B293" s="1411"/>
      <c r="C293" s="1412"/>
      <c r="D293" s="1412"/>
      <c r="E293" s="1412"/>
      <c r="F293" s="1413"/>
      <c r="G293" s="1253"/>
      <c r="H293" s="1253"/>
      <c r="I293" s="1253"/>
      <c r="J293" s="1416"/>
      <c r="K293" s="1253"/>
      <c r="L293" s="1422"/>
      <c r="M293" s="553" t="str">
        <f>IF('別紙様式2-2（４・５月分）'!P223="","",'別紙様式2-2（４・５月分）'!P223)</f>
        <v/>
      </c>
      <c r="N293" s="1394"/>
      <c r="O293" s="1374"/>
      <c r="P293" s="1426"/>
      <c r="Q293" s="1378"/>
      <c r="R293" s="1509"/>
      <c r="S293" s="1382"/>
      <c r="T293" s="1511"/>
      <c r="U293" s="1507"/>
      <c r="V293" s="1388"/>
      <c r="W293" s="1505"/>
      <c r="X293" s="1364"/>
      <c r="Y293" s="1505"/>
      <c r="Z293" s="1364"/>
      <c r="AA293" s="1505"/>
      <c r="AB293" s="1364"/>
      <c r="AC293" s="1505"/>
      <c r="AD293" s="1364"/>
      <c r="AE293" s="1364"/>
      <c r="AF293" s="1364"/>
      <c r="AG293" s="1360"/>
      <c r="AH293" s="1366"/>
      <c r="AI293" s="1499"/>
      <c r="AJ293" s="1370"/>
      <c r="AK293" s="1501"/>
      <c r="AL293" s="1503"/>
      <c r="AM293" s="1495"/>
      <c r="AN293" s="1476"/>
      <c r="AO293" s="1497"/>
      <c r="AP293" s="1476"/>
      <c r="AQ293" s="1478"/>
      <c r="AR293" s="1480"/>
      <c r="AS293" s="575"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1"/>
      <c r="AU293" s="1303"/>
      <c r="AV293" s="555" t="str">
        <f>IF('別紙様式2-2（４・５月分）'!N223="","",'別紙様式2-2（４・５月分）'!N223)</f>
        <v/>
      </c>
      <c r="AW293" s="1305"/>
      <c r="AX293" s="576"/>
      <c r="AY293" s="1222" t="str">
        <f>IF(OR(T293="新加算Ⅰ",T293="新加算Ⅱ",T293="新加算Ⅲ",T293="新加算Ⅳ",T293="新加算Ⅴ（１）",T293="新加算Ⅴ（２）",T293="新加算Ⅴ（３）",T293="新加算ⅠⅤ（４）",T293="新加算Ⅴ（５）",T293="新加算Ⅴ（６）",T293="新加算Ⅴ（８）",T293="新加算Ⅴ（11）"),IF(AI293="○","","未入力"),"")</f>
        <v/>
      </c>
      <c r="AZ293" s="1222" t="str">
        <f>IF(OR(U293="新加算Ⅰ",U293="新加算Ⅱ",U293="新加算Ⅲ",U293="新加算Ⅳ",U293="新加算Ⅴ（１）",U293="新加算Ⅴ（２）",U293="新加算Ⅴ（３）",U293="新加算ⅠⅤ（４）",U293="新加算Ⅴ（５）",U293="新加算Ⅴ（６）",U293="新加算Ⅴ（８）",U293="新加算Ⅴ（11）"),IF(AJ293="○","","未入力"),"")</f>
        <v/>
      </c>
      <c r="BA293" s="1222" t="str">
        <f>IF(OR(U293="新加算Ⅴ（７）",U293="新加算Ⅴ（９）",U293="新加算Ⅴ（10）",U293="新加算Ⅴ（12）",U293="新加算Ⅴ（13）",U293="新加算Ⅴ（14）"),IF(AK293="○","","未入力"),"")</f>
        <v/>
      </c>
      <c r="BB293" s="1222" t="str">
        <f>IF(OR(U293="新加算Ⅰ",U293="新加算Ⅱ",U293="新加算Ⅲ",U293="新加算Ⅴ（１）",U293="新加算Ⅴ（３）",U293="新加算Ⅴ（８）"),IF(AL293="○","","未入力"),"")</f>
        <v/>
      </c>
      <c r="BC293" s="1472"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03" t="str">
        <f>IF(AND(T293&lt;&gt;"（参考）令和７年度の移行予定",OR(U293="新加算Ⅰ",U293="新加算Ⅴ（１）",U293="新加算Ⅴ（２）",U293="新加算Ⅴ（５）",U293="新加算Ⅴ（７）",U293="新加算Ⅴ（10）")),IF(AN293="","未入力",IF(AN293="いずれも取得していない","要件を満たさない","")),"")</f>
        <v/>
      </c>
      <c r="BE293" s="1303" t="str">
        <f>G290</f>
        <v/>
      </c>
      <c r="BF293" s="1303"/>
      <c r="BG293" s="1303"/>
    </row>
    <row r="294" spans="1:59" ht="30" customHeight="1">
      <c r="A294" s="1266">
        <v>71</v>
      </c>
      <c r="B294" s="1235" t="str">
        <f>IF(基本情報入力シート!C124="","",基本情報入力シート!C124)</f>
        <v/>
      </c>
      <c r="C294" s="1236"/>
      <c r="D294" s="1236"/>
      <c r="E294" s="1236"/>
      <c r="F294" s="1237"/>
      <c r="G294" s="1252" t="str">
        <f>IF(基本情報入力シート!M124="","",基本情報入力シート!M124)</f>
        <v/>
      </c>
      <c r="H294" s="1252" t="str">
        <f>IF(基本情報入力シート!R124="","",基本情報入力シート!R124)</f>
        <v/>
      </c>
      <c r="I294" s="1252" t="str">
        <f>IF(基本情報入力シート!W124="","",基本情報入力シート!W124)</f>
        <v/>
      </c>
      <c r="J294" s="1415" t="str">
        <f>IF(基本情報入力シート!X124="","",基本情報入力シート!X124)</f>
        <v/>
      </c>
      <c r="K294" s="1252" t="str">
        <f>IF(基本情報入力シート!Y124="","",基本情報入力シート!Y124)</f>
        <v/>
      </c>
      <c r="L294" s="1421" t="str">
        <f>IF(基本情報入力シート!AB124="","",基本情報入力シート!AB124)</f>
        <v/>
      </c>
      <c r="M294" s="550" t="str">
        <f>IF('別紙様式2-2（４・５月分）'!P224="","",'別紙様式2-2（４・５月分）'!P224)</f>
        <v/>
      </c>
      <c r="N294" s="1391" t="str">
        <f>IF(SUM('別紙様式2-2（４・５月分）'!Q224:Q226)=0,"",SUM('別紙様式2-2（４・５月分）'!Q224:Q226))</f>
        <v/>
      </c>
      <c r="O294" s="1395" t="str">
        <f>IFERROR(VLOOKUP('別紙様式2-2（４・５月分）'!AQ224,【参考】数式用!$AR$5:$AS$22,2,FALSE),"")</f>
        <v/>
      </c>
      <c r="P294" s="1396"/>
      <c r="Q294" s="1397"/>
      <c r="R294" s="1531" t="str">
        <f>IFERROR(VLOOKUP(K294,【参考】数式用!$A$5:$AB$37,MATCH(O294,【参考】数式用!$B$4:$AB$4,0)+1,0),"")</f>
        <v/>
      </c>
      <c r="S294" s="1403" t="s">
        <v>2102</v>
      </c>
      <c r="T294" s="1527" t="str">
        <f>IF('別紙様式2-3（６月以降分）'!T294="","",'別紙様式2-3（６月以降分）'!T294)</f>
        <v/>
      </c>
      <c r="U294" s="1529" t="str">
        <f>IFERROR(VLOOKUP(K294,【参考】数式用!$A$5:$AB$37,MATCH(T294,【参考】数式用!$B$4:$AB$4,0)+1,0),"")</f>
        <v/>
      </c>
      <c r="V294" s="1409" t="s">
        <v>15</v>
      </c>
      <c r="W294" s="1525">
        <f>'別紙様式2-3（６月以降分）'!W294</f>
        <v>6</v>
      </c>
      <c r="X294" s="1349" t="s">
        <v>10</v>
      </c>
      <c r="Y294" s="1525">
        <f>'別紙様式2-3（６月以降分）'!Y294</f>
        <v>6</v>
      </c>
      <c r="Z294" s="1349" t="s">
        <v>38</v>
      </c>
      <c r="AA294" s="1525">
        <f>'別紙様式2-3（６月以降分）'!AA294</f>
        <v>7</v>
      </c>
      <c r="AB294" s="1349" t="s">
        <v>10</v>
      </c>
      <c r="AC294" s="1525">
        <f>'別紙様式2-3（６月以降分）'!AC294</f>
        <v>3</v>
      </c>
      <c r="AD294" s="1349" t="s">
        <v>2020</v>
      </c>
      <c r="AE294" s="1349" t="s">
        <v>20</v>
      </c>
      <c r="AF294" s="1349">
        <f>IF(W294&gt;=1,(AA294*12+AC294)-(W294*12+Y294)+1,"")</f>
        <v>10</v>
      </c>
      <c r="AG294" s="1351" t="s">
        <v>33</v>
      </c>
      <c r="AH294" s="1517" t="str">
        <f>'別紙様式2-3（６月以降分）'!AH294</f>
        <v/>
      </c>
      <c r="AI294" s="1519" t="str">
        <f>'別紙様式2-3（６月以降分）'!AI294</f>
        <v/>
      </c>
      <c r="AJ294" s="1521">
        <f>'別紙様式2-3（６月以降分）'!AJ294</f>
        <v>0</v>
      </c>
      <c r="AK294" s="1523" t="str">
        <f>IF('別紙様式2-3（６月以降分）'!AK294="","",'別紙様式2-3（６月以降分）'!AK294)</f>
        <v/>
      </c>
      <c r="AL294" s="1512">
        <f>'別紙様式2-3（６月以降分）'!AL294</f>
        <v>0</v>
      </c>
      <c r="AM294" s="1514" t="str">
        <f>IF('別紙様式2-3（６月以降分）'!AM294="","",'別紙様式2-3（６月以降分）'!AM294)</f>
        <v/>
      </c>
      <c r="AN294" s="1333" t="str">
        <f>IF('別紙様式2-3（６月以降分）'!AN294="","",'別紙様式2-3（６月以降分）'!AN294)</f>
        <v/>
      </c>
      <c r="AO294" s="1331" t="str">
        <f>IF('別紙様式2-3（６月以降分）'!AO294="","",'別紙様式2-3（６月以降分）'!AO294)</f>
        <v/>
      </c>
      <c r="AP294" s="1333" t="str">
        <f>IF('別紙様式2-3（６月以降分）'!AP294="","",'別紙様式2-3（６月以降分）'!AP294)</f>
        <v/>
      </c>
      <c r="AQ294" s="1481" t="str">
        <f>IF('別紙様式2-3（６月以降分）'!AQ294="","",'別紙様式2-3（６月以降分）'!AQ294)</f>
        <v/>
      </c>
      <c r="AR294" s="1484" t="str">
        <f>IF('別紙様式2-3（６月以降分）'!AR294="","",'別紙様式2-3（６月以降分）'!AR294)</f>
        <v/>
      </c>
      <c r="AS294" s="570" t="str">
        <f t="shared" ref="AS294" si="483">IF(AU296="","",IF(U296&lt;U294,"！加算の要件上は問題ありませんが、令和６年度当初の新加算の加算率と比較して、移行後の加算率が下がる計画になっています。",""))</f>
        <v/>
      </c>
      <c r="AT294" s="577"/>
      <c r="AU294" s="1301"/>
      <c r="AV294" s="555" t="str">
        <f>IF('別紙様式2-2（４・５月分）'!N224="","",'別紙様式2-2（４・５月分）'!N224)</f>
        <v/>
      </c>
      <c r="AW294" s="1305" t="str">
        <f>IF(SUM('別紙様式2-2（４・５月分）'!O224:O226)=0,"",SUM('別紙様式2-2（４・５月分）'!O224:O226))</f>
        <v/>
      </c>
      <c r="AX294" s="1473" t="str">
        <f>IFERROR(VLOOKUP(K294,【参考】数式用!$AH$2:$AI$34,2,FALSE),"")</f>
        <v/>
      </c>
      <c r="AY294" s="493"/>
      <c r="BD294" s="340"/>
      <c r="BE294" s="1303" t="str">
        <f>G294</f>
        <v/>
      </c>
      <c r="BF294" s="1303"/>
      <c r="BG294" s="1303"/>
    </row>
    <row r="295" spans="1:59" ht="15" customHeight="1">
      <c r="A295" s="1267"/>
      <c r="B295" s="1235"/>
      <c r="C295" s="1236"/>
      <c r="D295" s="1236"/>
      <c r="E295" s="1236"/>
      <c r="F295" s="1237"/>
      <c r="G295" s="1252"/>
      <c r="H295" s="1252"/>
      <c r="I295" s="1252"/>
      <c r="J295" s="1415"/>
      <c r="K295" s="1252"/>
      <c r="L295" s="1421"/>
      <c r="M295" s="1371" t="str">
        <f>IF('別紙様式2-2（４・５月分）'!P225="","",'別紙様式2-2（４・５月分）'!P225)</f>
        <v/>
      </c>
      <c r="N295" s="1392"/>
      <c r="O295" s="1398"/>
      <c r="P295" s="1399"/>
      <c r="Q295" s="1400"/>
      <c r="R295" s="1532"/>
      <c r="S295" s="1404"/>
      <c r="T295" s="1528"/>
      <c r="U295" s="1530"/>
      <c r="V295" s="1410"/>
      <c r="W295" s="1526"/>
      <c r="X295" s="1350"/>
      <c r="Y295" s="1526"/>
      <c r="Z295" s="1350"/>
      <c r="AA295" s="1526"/>
      <c r="AB295" s="1350"/>
      <c r="AC295" s="1526"/>
      <c r="AD295" s="1350"/>
      <c r="AE295" s="1350"/>
      <c r="AF295" s="1350"/>
      <c r="AG295" s="1352"/>
      <c r="AH295" s="1518"/>
      <c r="AI295" s="1520"/>
      <c r="AJ295" s="1522"/>
      <c r="AK295" s="1524"/>
      <c r="AL295" s="1513"/>
      <c r="AM295" s="1515"/>
      <c r="AN295" s="1334"/>
      <c r="AO295" s="1516"/>
      <c r="AP295" s="1334"/>
      <c r="AQ295" s="1482"/>
      <c r="AR295" s="1485"/>
      <c r="AS295" s="1483" t="str">
        <f t="shared" ref="AS295" si="484">IF(AU296="","",IF(OR(AA296="",AA296&lt;&gt;7,AC296="",AC296&lt;&gt;3),"！算定期間の終わりが令和７年３月になっていません。年度内の廃止予定等がなければ、算定対象月を令和７年３月にしてください。",""))</f>
        <v/>
      </c>
      <c r="AT295" s="577"/>
      <c r="AU295" s="1303"/>
      <c r="AV295" s="1304" t="str">
        <f>IF('別紙様式2-2（４・５月分）'!N225="","",'別紙様式2-2（４・５月分）'!N225)</f>
        <v/>
      </c>
      <c r="AW295" s="1305"/>
      <c r="AX295" s="1474"/>
      <c r="AY295" s="430"/>
      <c r="BD295" s="340"/>
      <c r="BE295" s="1303" t="str">
        <f>G294</f>
        <v/>
      </c>
      <c r="BF295" s="1303"/>
      <c r="BG295" s="1303"/>
    </row>
    <row r="296" spans="1:59" ht="15" customHeight="1">
      <c r="A296" s="1295"/>
      <c r="B296" s="1235"/>
      <c r="C296" s="1236"/>
      <c r="D296" s="1236"/>
      <c r="E296" s="1236"/>
      <c r="F296" s="1237"/>
      <c r="G296" s="1252"/>
      <c r="H296" s="1252"/>
      <c r="I296" s="1252"/>
      <c r="J296" s="1415"/>
      <c r="K296" s="1252"/>
      <c r="L296" s="1421"/>
      <c r="M296" s="1372"/>
      <c r="N296" s="1393"/>
      <c r="O296" s="1373" t="s">
        <v>2025</v>
      </c>
      <c r="P296" s="1425" t="str">
        <f>IFERROR(VLOOKUP('別紙様式2-2（４・５月分）'!AQ224,【参考】数式用!$AR$5:$AT$22,3,FALSE),"")</f>
        <v/>
      </c>
      <c r="Q296" s="1377" t="s">
        <v>2036</v>
      </c>
      <c r="R296" s="1508" t="str">
        <f>IFERROR(VLOOKUP(K294,【参考】数式用!$A$5:$AB$37,MATCH(P296,【参考】数式用!$B$4:$AB$4,0)+1,0),"")</f>
        <v/>
      </c>
      <c r="S296" s="1381" t="s">
        <v>2109</v>
      </c>
      <c r="T296" s="1510"/>
      <c r="U296" s="1506" t="str">
        <f>IFERROR(VLOOKUP(K294,【参考】数式用!$A$5:$AB$37,MATCH(T296,【参考】数式用!$B$4:$AB$4,0)+1,0),"")</f>
        <v/>
      </c>
      <c r="V296" s="1387" t="s">
        <v>15</v>
      </c>
      <c r="W296" s="1504"/>
      <c r="X296" s="1363" t="s">
        <v>10</v>
      </c>
      <c r="Y296" s="1504"/>
      <c r="Z296" s="1363" t="s">
        <v>38</v>
      </c>
      <c r="AA296" s="1504"/>
      <c r="AB296" s="1363" t="s">
        <v>10</v>
      </c>
      <c r="AC296" s="1504"/>
      <c r="AD296" s="1363" t="s">
        <v>2020</v>
      </c>
      <c r="AE296" s="1363" t="s">
        <v>20</v>
      </c>
      <c r="AF296" s="1363" t="str">
        <f>IF(W296&gt;=1,(AA296*12+AC296)-(W296*12+Y296)+1,"")</f>
        <v/>
      </c>
      <c r="AG296" s="1359" t="s">
        <v>33</v>
      </c>
      <c r="AH296" s="1365" t="str">
        <f t="shared" ref="AH296" si="485">IFERROR(ROUNDDOWN(ROUND(L294*U296,0),0)*AF296,"")</f>
        <v/>
      </c>
      <c r="AI296" s="1498" t="str">
        <f t="shared" ref="AI296" si="486">IFERROR(ROUNDDOWN(ROUND((L294*(U296-AW294)),0),0)*AF296,"")</f>
        <v/>
      </c>
      <c r="AJ296" s="1369" t="str">
        <f>IFERROR(ROUNDDOWN(ROUNDDOWN(ROUND(L294*VLOOKUP(K294,【参考】数式用!$A$5:$AB$27,MATCH("新加算Ⅳ",【参考】数式用!$B$4:$AB$4,0)+1,0),0),0)*AF296*0.5,0),"")</f>
        <v/>
      </c>
      <c r="AK296" s="1500"/>
      <c r="AL296" s="1502" t="str">
        <f>IFERROR(IF('別紙様式2-2（４・５月分）'!P296="ベア加算","", IF(OR(T296="新加算Ⅰ",T296="新加算Ⅱ",T296="新加算Ⅲ",T296="新加算Ⅳ"),ROUNDDOWN(ROUND(L294*VLOOKUP(K294,【参考】数式用!$A$5:$I$27,MATCH("ベア加算",【参考】数式用!$B$4:$I$4,0)+1,0),0),0)*AF296,"")),"")</f>
        <v/>
      </c>
      <c r="AM296" s="1494"/>
      <c r="AN296" s="1475"/>
      <c r="AO296" s="1496"/>
      <c r="AP296" s="1475"/>
      <c r="AQ296" s="1477"/>
      <c r="AR296" s="1479"/>
      <c r="AS296" s="1483"/>
      <c r="AT296" s="451"/>
      <c r="AU296" s="1303" t="str">
        <f>IF(AND(AA294&lt;&gt;7,AC294&lt;&gt;3),"V列に色付け","")</f>
        <v/>
      </c>
      <c r="AV296" s="1304"/>
      <c r="AW296" s="1305"/>
      <c r="AX296" s="574"/>
      <c r="AY296" s="1222" t="str">
        <f>IF(AL296&lt;&gt;"",IF(AM296="○","入力済","未入力"),"")</f>
        <v/>
      </c>
      <c r="AZ296" s="1222"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2" t="str">
        <f>IF(OR(T296="新加算Ⅴ（７）",T296="新加算Ⅴ（９）",T296="新加算Ⅴ（10）",T296="新加算Ⅴ（12）",T296="新加算Ⅴ（13）",T296="新加算Ⅴ（14）"),IF(OR(AO296="○",AO296="令和６年度中に満たす"),"入力済","未入力"),"")</f>
        <v/>
      </c>
      <c r="BB296" s="1222" t="str">
        <f>IF(OR(T296="新加算Ⅰ",T296="新加算Ⅱ",T296="新加算Ⅲ",T296="新加算Ⅴ（１）",T296="新加算Ⅴ（３）",T296="新加算Ⅴ（８）"),IF(OR(AP296="○",AP296="令和６年度中に満たす"),"入力済","未入力"),"")</f>
        <v/>
      </c>
      <c r="BC296" s="1472"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03" t="str">
        <f>IF(OR(T296="新加算Ⅰ",T296="新加算Ⅴ（１）",T296="新加算Ⅴ（２）",T296="新加算Ⅴ（５）",T296="新加算Ⅴ（７）",T296="新加算Ⅴ（10）"),IF(AR296="","未入力","入力済"),"")</f>
        <v/>
      </c>
      <c r="BE296" s="1303" t="str">
        <f>G294</f>
        <v/>
      </c>
      <c r="BF296" s="1303"/>
      <c r="BG296" s="1303"/>
    </row>
    <row r="297" spans="1:59" ht="30" customHeight="1" thickBot="1">
      <c r="A297" s="1268"/>
      <c r="B297" s="1411"/>
      <c r="C297" s="1412"/>
      <c r="D297" s="1412"/>
      <c r="E297" s="1412"/>
      <c r="F297" s="1413"/>
      <c r="G297" s="1253"/>
      <c r="H297" s="1253"/>
      <c r="I297" s="1253"/>
      <c r="J297" s="1416"/>
      <c r="K297" s="1253"/>
      <c r="L297" s="1422"/>
      <c r="M297" s="553" t="str">
        <f>IF('別紙様式2-2（４・５月分）'!P226="","",'別紙様式2-2（４・５月分）'!P226)</f>
        <v/>
      </c>
      <c r="N297" s="1394"/>
      <c r="O297" s="1374"/>
      <c r="P297" s="1426"/>
      <c r="Q297" s="1378"/>
      <c r="R297" s="1509"/>
      <c r="S297" s="1382"/>
      <c r="T297" s="1511"/>
      <c r="U297" s="1507"/>
      <c r="V297" s="1388"/>
      <c r="W297" s="1505"/>
      <c r="X297" s="1364"/>
      <c r="Y297" s="1505"/>
      <c r="Z297" s="1364"/>
      <c r="AA297" s="1505"/>
      <c r="AB297" s="1364"/>
      <c r="AC297" s="1505"/>
      <c r="AD297" s="1364"/>
      <c r="AE297" s="1364"/>
      <c r="AF297" s="1364"/>
      <c r="AG297" s="1360"/>
      <c r="AH297" s="1366"/>
      <c r="AI297" s="1499"/>
      <c r="AJ297" s="1370"/>
      <c r="AK297" s="1501"/>
      <c r="AL297" s="1503"/>
      <c r="AM297" s="1495"/>
      <c r="AN297" s="1476"/>
      <c r="AO297" s="1497"/>
      <c r="AP297" s="1476"/>
      <c r="AQ297" s="1478"/>
      <c r="AR297" s="1480"/>
      <c r="AS297" s="575"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1"/>
      <c r="AU297" s="1303"/>
      <c r="AV297" s="555" t="str">
        <f>IF('別紙様式2-2（４・５月分）'!N226="","",'別紙様式2-2（４・５月分）'!N226)</f>
        <v/>
      </c>
      <c r="AW297" s="1305"/>
      <c r="AX297" s="576"/>
      <c r="AY297" s="1222" t="str">
        <f>IF(OR(T297="新加算Ⅰ",T297="新加算Ⅱ",T297="新加算Ⅲ",T297="新加算Ⅳ",T297="新加算Ⅴ（１）",T297="新加算Ⅴ（２）",T297="新加算Ⅴ（３）",T297="新加算ⅠⅤ（４）",T297="新加算Ⅴ（５）",T297="新加算Ⅴ（６）",T297="新加算Ⅴ（８）",T297="新加算Ⅴ（11）"),IF(AI297="○","","未入力"),"")</f>
        <v/>
      </c>
      <c r="AZ297" s="1222" t="str">
        <f>IF(OR(U297="新加算Ⅰ",U297="新加算Ⅱ",U297="新加算Ⅲ",U297="新加算Ⅳ",U297="新加算Ⅴ（１）",U297="新加算Ⅴ（２）",U297="新加算Ⅴ（３）",U297="新加算ⅠⅤ（４）",U297="新加算Ⅴ（５）",U297="新加算Ⅴ（６）",U297="新加算Ⅴ（８）",U297="新加算Ⅴ（11）"),IF(AJ297="○","","未入力"),"")</f>
        <v/>
      </c>
      <c r="BA297" s="1222" t="str">
        <f>IF(OR(U297="新加算Ⅴ（７）",U297="新加算Ⅴ（９）",U297="新加算Ⅴ（10）",U297="新加算Ⅴ（12）",U297="新加算Ⅴ（13）",U297="新加算Ⅴ（14）"),IF(AK297="○","","未入力"),"")</f>
        <v/>
      </c>
      <c r="BB297" s="1222" t="str">
        <f>IF(OR(U297="新加算Ⅰ",U297="新加算Ⅱ",U297="新加算Ⅲ",U297="新加算Ⅴ（１）",U297="新加算Ⅴ（３）",U297="新加算Ⅴ（８）"),IF(AL297="○","","未入力"),"")</f>
        <v/>
      </c>
      <c r="BC297" s="1472"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03" t="str">
        <f>IF(AND(T297&lt;&gt;"（参考）令和７年度の移行予定",OR(U297="新加算Ⅰ",U297="新加算Ⅴ（１）",U297="新加算Ⅴ（２）",U297="新加算Ⅴ（５）",U297="新加算Ⅴ（７）",U297="新加算Ⅴ（10）")),IF(AN297="","未入力",IF(AN297="いずれも取得していない","要件を満たさない","")),"")</f>
        <v/>
      </c>
      <c r="BE297" s="1303" t="str">
        <f>G294</f>
        <v/>
      </c>
      <c r="BF297" s="1303"/>
      <c r="BG297" s="1303"/>
    </row>
    <row r="298" spans="1:59" ht="30" customHeight="1">
      <c r="A298" s="1293">
        <v>72</v>
      </c>
      <c r="B298" s="1232" t="str">
        <f>IF(基本情報入力シート!C125="","",基本情報入力シート!C125)</f>
        <v/>
      </c>
      <c r="C298" s="1233"/>
      <c r="D298" s="1233"/>
      <c r="E298" s="1233"/>
      <c r="F298" s="1234"/>
      <c r="G298" s="1251" t="str">
        <f>IF(基本情報入力シート!M125="","",基本情報入力シート!M125)</f>
        <v/>
      </c>
      <c r="H298" s="1251" t="str">
        <f>IF(基本情報入力シート!R125="","",基本情報入力シート!R125)</f>
        <v/>
      </c>
      <c r="I298" s="1251" t="str">
        <f>IF(基本情報入力シート!W125="","",基本情報入力シート!W125)</f>
        <v/>
      </c>
      <c r="J298" s="1414" t="str">
        <f>IF(基本情報入力シート!X125="","",基本情報入力シート!X125)</f>
        <v/>
      </c>
      <c r="K298" s="1251" t="str">
        <f>IF(基本情報入力シート!Y125="","",基本情報入力シート!Y125)</f>
        <v/>
      </c>
      <c r="L298" s="1427" t="str">
        <f>IF(基本情報入力シート!AB125="","",基本情報入力シート!AB125)</f>
        <v/>
      </c>
      <c r="M298" s="550" t="str">
        <f>IF('別紙様式2-2（４・５月分）'!P227="","",'別紙様式2-2（４・５月分）'!P227)</f>
        <v/>
      </c>
      <c r="N298" s="1391" t="str">
        <f>IF(SUM('別紙様式2-2（４・５月分）'!Q227:Q229)=0,"",SUM('別紙様式2-2（４・５月分）'!Q227:Q229))</f>
        <v/>
      </c>
      <c r="O298" s="1395" t="str">
        <f>IFERROR(VLOOKUP('別紙様式2-2（４・５月分）'!AQ227,【参考】数式用!$AR$5:$AS$22,2,FALSE),"")</f>
        <v/>
      </c>
      <c r="P298" s="1396"/>
      <c r="Q298" s="1397"/>
      <c r="R298" s="1531" t="str">
        <f>IFERROR(VLOOKUP(K298,【参考】数式用!$A$5:$AB$37,MATCH(O298,【参考】数式用!$B$4:$AB$4,0)+1,0),"")</f>
        <v/>
      </c>
      <c r="S298" s="1403" t="s">
        <v>2102</v>
      </c>
      <c r="T298" s="1527" t="str">
        <f>IF('別紙様式2-3（６月以降分）'!T298="","",'別紙様式2-3（６月以降分）'!T298)</f>
        <v/>
      </c>
      <c r="U298" s="1529" t="str">
        <f>IFERROR(VLOOKUP(K298,【参考】数式用!$A$5:$AB$37,MATCH(T298,【参考】数式用!$B$4:$AB$4,0)+1,0),"")</f>
        <v/>
      </c>
      <c r="V298" s="1409" t="s">
        <v>15</v>
      </c>
      <c r="W298" s="1525">
        <f>'別紙様式2-3（６月以降分）'!W298</f>
        <v>6</v>
      </c>
      <c r="X298" s="1349" t="s">
        <v>10</v>
      </c>
      <c r="Y298" s="1525">
        <f>'別紙様式2-3（６月以降分）'!Y298</f>
        <v>6</v>
      </c>
      <c r="Z298" s="1349" t="s">
        <v>38</v>
      </c>
      <c r="AA298" s="1525">
        <f>'別紙様式2-3（６月以降分）'!AA298</f>
        <v>7</v>
      </c>
      <c r="AB298" s="1349" t="s">
        <v>10</v>
      </c>
      <c r="AC298" s="1525">
        <f>'別紙様式2-3（６月以降分）'!AC298</f>
        <v>3</v>
      </c>
      <c r="AD298" s="1349" t="s">
        <v>2020</v>
      </c>
      <c r="AE298" s="1349" t="s">
        <v>20</v>
      </c>
      <c r="AF298" s="1349">
        <f>IF(W298&gt;=1,(AA298*12+AC298)-(W298*12+Y298)+1,"")</f>
        <v>10</v>
      </c>
      <c r="AG298" s="1351" t="s">
        <v>33</v>
      </c>
      <c r="AH298" s="1517" t="str">
        <f>'別紙様式2-3（６月以降分）'!AH298</f>
        <v/>
      </c>
      <c r="AI298" s="1519" t="str">
        <f>'別紙様式2-3（６月以降分）'!AI298</f>
        <v/>
      </c>
      <c r="AJ298" s="1521">
        <f>'別紙様式2-3（６月以降分）'!AJ298</f>
        <v>0</v>
      </c>
      <c r="AK298" s="1523" t="str">
        <f>IF('別紙様式2-3（６月以降分）'!AK298="","",'別紙様式2-3（６月以降分）'!AK298)</f>
        <v/>
      </c>
      <c r="AL298" s="1512">
        <f>'別紙様式2-3（６月以降分）'!AL298</f>
        <v>0</v>
      </c>
      <c r="AM298" s="1514" t="str">
        <f>IF('別紙様式2-3（６月以降分）'!AM298="","",'別紙様式2-3（６月以降分）'!AM298)</f>
        <v/>
      </c>
      <c r="AN298" s="1333" t="str">
        <f>IF('別紙様式2-3（６月以降分）'!AN298="","",'別紙様式2-3（６月以降分）'!AN298)</f>
        <v/>
      </c>
      <c r="AO298" s="1331" t="str">
        <f>IF('別紙様式2-3（６月以降分）'!AO298="","",'別紙様式2-3（６月以降分）'!AO298)</f>
        <v/>
      </c>
      <c r="AP298" s="1333" t="str">
        <f>IF('別紙様式2-3（６月以降分）'!AP298="","",'別紙様式2-3（６月以降分）'!AP298)</f>
        <v/>
      </c>
      <c r="AQ298" s="1481" t="str">
        <f>IF('別紙様式2-3（６月以降分）'!AQ298="","",'別紙様式2-3（６月以降分）'!AQ298)</f>
        <v/>
      </c>
      <c r="AR298" s="1484" t="str">
        <f>IF('別紙様式2-3（６月以降分）'!AR298="","",'別紙様式2-3（６月以降分）'!AR298)</f>
        <v/>
      </c>
      <c r="AS298" s="570" t="str">
        <f t="shared" ref="AS298" si="490">IF(AU300="","",IF(U300&lt;U298,"！加算の要件上は問題ありませんが、令和６年度当初の新加算の加算率と比較して、移行後の加算率が下がる計画になっています。",""))</f>
        <v/>
      </c>
      <c r="AT298" s="577"/>
      <c r="AU298" s="1301"/>
      <c r="AV298" s="555" t="str">
        <f>IF('別紙様式2-2（４・５月分）'!N227="","",'別紙様式2-2（４・５月分）'!N227)</f>
        <v/>
      </c>
      <c r="AW298" s="1305" t="str">
        <f>IF(SUM('別紙様式2-2（４・５月分）'!O227:O229)=0,"",SUM('別紙様式2-2（４・５月分）'!O227:O229))</f>
        <v/>
      </c>
      <c r="AX298" s="1473" t="str">
        <f>IFERROR(VLOOKUP(K298,【参考】数式用!$AH$2:$AI$34,2,FALSE),"")</f>
        <v/>
      </c>
      <c r="AY298" s="493"/>
      <c r="BD298" s="340"/>
      <c r="BE298" s="1303" t="str">
        <f>G298</f>
        <v/>
      </c>
      <c r="BF298" s="1303"/>
      <c r="BG298" s="1303"/>
    </row>
    <row r="299" spans="1:59" ht="15" customHeight="1">
      <c r="A299" s="1267"/>
      <c r="B299" s="1235"/>
      <c r="C299" s="1236"/>
      <c r="D299" s="1236"/>
      <c r="E299" s="1236"/>
      <c r="F299" s="1237"/>
      <c r="G299" s="1252"/>
      <c r="H299" s="1252"/>
      <c r="I299" s="1252"/>
      <c r="J299" s="1415"/>
      <c r="K299" s="1252"/>
      <c r="L299" s="1421"/>
      <c r="M299" s="1371" t="str">
        <f>IF('別紙様式2-2（４・５月分）'!P228="","",'別紙様式2-2（４・５月分）'!P228)</f>
        <v/>
      </c>
      <c r="N299" s="1392"/>
      <c r="O299" s="1398"/>
      <c r="P299" s="1399"/>
      <c r="Q299" s="1400"/>
      <c r="R299" s="1532"/>
      <c r="S299" s="1404"/>
      <c r="T299" s="1528"/>
      <c r="U299" s="1530"/>
      <c r="V299" s="1410"/>
      <c r="W299" s="1526"/>
      <c r="X299" s="1350"/>
      <c r="Y299" s="1526"/>
      <c r="Z299" s="1350"/>
      <c r="AA299" s="1526"/>
      <c r="AB299" s="1350"/>
      <c r="AC299" s="1526"/>
      <c r="AD299" s="1350"/>
      <c r="AE299" s="1350"/>
      <c r="AF299" s="1350"/>
      <c r="AG299" s="1352"/>
      <c r="AH299" s="1518"/>
      <c r="AI299" s="1520"/>
      <c r="AJ299" s="1522"/>
      <c r="AK299" s="1524"/>
      <c r="AL299" s="1513"/>
      <c r="AM299" s="1515"/>
      <c r="AN299" s="1334"/>
      <c r="AO299" s="1516"/>
      <c r="AP299" s="1334"/>
      <c r="AQ299" s="1482"/>
      <c r="AR299" s="1485"/>
      <c r="AS299" s="1483" t="str">
        <f t="shared" ref="AS299" si="491">IF(AU300="","",IF(OR(AA300="",AA300&lt;&gt;7,AC300="",AC300&lt;&gt;3),"！算定期間の終わりが令和７年３月になっていません。年度内の廃止予定等がなければ、算定対象月を令和７年３月にしてください。",""))</f>
        <v/>
      </c>
      <c r="AT299" s="577"/>
      <c r="AU299" s="1303"/>
      <c r="AV299" s="1304" t="str">
        <f>IF('別紙様式2-2（４・５月分）'!N228="","",'別紙様式2-2（４・５月分）'!N228)</f>
        <v/>
      </c>
      <c r="AW299" s="1305"/>
      <c r="AX299" s="1474"/>
      <c r="AY299" s="430"/>
      <c r="BD299" s="340"/>
      <c r="BE299" s="1303" t="str">
        <f>G298</f>
        <v/>
      </c>
      <c r="BF299" s="1303"/>
      <c r="BG299" s="1303"/>
    </row>
    <row r="300" spans="1:59" ht="15" customHeight="1">
      <c r="A300" s="1295"/>
      <c r="B300" s="1235"/>
      <c r="C300" s="1236"/>
      <c r="D300" s="1236"/>
      <c r="E300" s="1236"/>
      <c r="F300" s="1237"/>
      <c r="G300" s="1252"/>
      <c r="H300" s="1252"/>
      <c r="I300" s="1252"/>
      <c r="J300" s="1415"/>
      <c r="K300" s="1252"/>
      <c r="L300" s="1421"/>
      <c r="M300" s="1372"/>
      <c r="N300" s="1393"/>
      <c r="O300" s="1373" t="s">
        <v>2025</v>
      </c>
      <c r="P300" s="1425" t="str">
        <f>IFERROR(VLOOKUP('別紙様式2-2（４・５月分）'!AQ227,【参考】数式用!$AR$5:$AT$22,3,FALSE),"")</f>
        <v/>
      </c>
      <c r="Q300" s="1377" t="s">
        <v>2036</v>
      </c>
      <c r="R300" s="1508" t="str">
        <f>IFERROR(VLOOKUP(K298,【参考】数式用!$A$5:$AB$37,MATCH(P300,【参考】数式用!$B$4:$AB$4,0)+1,0),"")</f>
        <v/>
      </c>
      <c r="S300" s="1381" t="s">
        <v>2109</v>
      </c>
      <c r="T300" s="1510"/>
      <c r="U300" s="1506" t="str">
        <f>IFERROR(VLOOKUP(K298,【参考】数式用!$A$5:$AB$37,MATCH(T300,【参考】数式用!$B$4:$AB$4,0)+1,0),"")</f>
        <v/>
      </c>
      <c r="V300" s="1387" t="s">
        <v>15</v>
      </c>
      <c r="W300" s="1504"/>
      <c r="X300" s="1363" t="s">
        <v>10</v>
      </c>
      <c r="Y300" s="1504"/>
      <c r="Z300" s="1363" t="s">
        <v>38</v>
      </c>
      <c r="AA300" s="1504"/>
      <c r="AB300" s="1363" t="s">
        <v>10</v>
      </c>
      <c r="AC300" s="1504"/>
      <c r="AD300" s="1363" t="s">
        <v>2020</v>
      </c>
      <c r="AE300" s="1363" t="s">
        <v>20</v>
      </c>
      <c r="AF300" s="1363" t="str">
        <f>IF(W300&gt;=1,(AA300*12+AC300)-(W300*12+Y300)+1,"")</f>
        <v/>
      </c>
      <c r="AG300" s="1359" t="s">
        <v>33</v>
      </c>
      <c r="AH300" s="1365" t="str">
        <f t="shared" ref="AH300" si="492">IFERROR(ROUNDDOWN(ROUND(L298*U300,0),0)*AF300,"")</f>
        <v/>
      </c>
      <c r="AI300" s="1498" t="str">
        <f t="shared" ref="AI300" si="493">IFERROR(ROUNDDOWN(ROUND((L298*(U300-AW298)),0),0)*AF300,"")</f>
        <v/>
      </c>
      <c r="AJ300" s="1369" t="str">
        <f>IFERROR(ROUNDDOWN(ROUNDDOWN(ROUND(L298*VLOOKUP(K298,【参考】数式用!$A$5:$AB$27,MATCH("新加算Ⅳ",【参考】数式用!$B$4:$AB$4,0)+1,0),0),0)*AF300*0.5,0),"")</f>
        <v/>
      </c>
      <c r="AK300" s="1500"/>
      <c r="AL300" s="1502" t="str">
        <f>IFERROR(IF('別紙様式2-2（４・５月分）'!P300="ベア加算","", IF(OR(T300="新加算Ⅰ",T300="新加算Ⅱ",T300="新加算Ⅲ",T300="新加算Ⅳ"),ROUNDDOWN(ROUND(L298*VLOOKUP(K298,【参考】数式用!$A$5:$I$27,MATCH("ベア加算",【参考】数式用!$B$4:$I$4,0)+1,0),0),0)*AF300,"")),"")</f>
        <v/>
      </c>
      <c r="AM300" s="1494"/>
      <c r="AN300" s="1475"/>
      <c r="AO300" s="1496"/>
      <c r="AP300" s="1475"/>
      <c r="AQ300" s="1477"/>
      <c r="AR300" s="1479"/>
      <c r="AS300" s="1483"/>
      <c r="AT300" s="451"/>
      <c r="AU300" s="1303" t="str">
        <f>IF(AND(AA298&lt;&gt;7,AC298&lt;&gt;3),"V列に色付け","")</f>
        <v/>
      </c>
      <c r="AV300" s="1304"/>
      <c r="AW300" s="1305"/>
      <c r="AX300" s="574"/>
      <c r="AY300" s="1222" t="str">
        <f>IF(AL300&lt;&gt;"",IF(AM300="○","入力済","未入力"),"")</f>
        <v/>
      </c>
      <c r="AZ300" s="1222"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2" t="str">
        <f>IF(OR(T300="新加算Ⅴ（７）",T300="新加算Ⅴ（９）",T300="新加算Ⅴ（10）",T300="新加算Ⅴ（12）",T300="新加算Ⅴ（13）",T300="新加算Ⅴ（14）"),IF(OR(AO300="○",AO300="令和６年度中に満たす"),"入力済","未入力"),"")</f>
        <v/>
      </c>
      <c r="BB300" s="1222" t="str">
        <f>IF(OR(T300="新加算Ⅰ",T300="新加算Ⅱ",T300="新加算Ⅲ",T300="新加算Ⅴ（１）",T300="新加算Ⅴ（３）",T300="新加算Ⅴ（８）"),IF(OR(AP300="○",AP300="令和６年度中に満たす"),"入力済","未入力"),"")</f>
        <v/>
      </c>
      <c r="BC300" s="1472"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03" t="str">
        <f>IF(OR(T300="新加算Ⅰ",T300="新加算Ⅴ（１）",T300="新加算Ⅴ（２）",T300="新加算Ⅴ（５）",T300="新加算Ⅴ（７）",T300="新加算Ⅴ（10）"),IF(AR300="","未入力","入力済"),"")</f>
        <v/>
      </c>
      <c r="BE300" s="1303" t="str">
        <f>G298</f>
        <v/>
      </c>
      <c r="BF300" s="1303"/>
      <c r="BG300" s="1303"/>
    </row>
    <row r="301" spans="1:59" ht="30" customHeight="1" thickBot="1">
      <c r="A301" s="1268"/>
      <c r="B301" s="1411"/>
      <c r="C301" s="1412"/>
      <c r="D301" s="1412"/>
      <c r="E301" s="1412"/>
      <c r="F301" s="1413"/>
      <c r="G301" s="1253"/>
      <c r="H301" s="1253"/>
      <c r="I301" s="1253"/>
      <c r="J301" s="1416"/>
      <c r="K301" s="1253"/>
      <c r="L301" s="1422"/>
      <c r="M301" s="553" t="str">
        <f>IF('別紙様式2-2（４・５月分）'!P229="","",'別紙様式2-2（４・５月分）'!P229)</f>
        <v/>
      </c>
      <c r="N301" s="1394"/>
      <c r="O301" s="1374"/>
      <c r="P301" s="1426"/>
      <c r="Q301" s="1378"/>
      <c r="R301" s="1509"/>
      <c r="S301" s="1382"/>
      <c r="T301" s="1511"/>
      <c r="U301" s="1507"/>
      <c r="V301" s="1388"/>
      <c r="W301" s="1505"/>
      <c r="X301" s="1364"/>
      <c r="Y301" s="1505"/>
      <c r="Z301" s="1364"/>
      <c r="AA301" s="1505"/>
      <c r="AB301" s="1364"/>
      <c r="AC301" s="1505"/>
      <c r="AD301" s="1364"/>
      <c r="AE301" s="1364"/>
      <c r="AF301" s="1364"/>
      <c r="AG301" s="1360"/>
      <c r="AH301" s="1366"/>
      <c r="AI301" s="1499"/>
      <c r="AJ301" s="1370"/>
      <c r="AK301" s="1501"/>
      <c r="AL301" s="1503"/>
      <c r="AM301" s="1495"/>
      <c r="AN301" s="1476"/>
      <c r="AO301" s="1497"/>
      <c r="AP301" s="1476"/>
      <c r="AQ301" s="1478"/>
      <c r="AR301" s="1480"/>
      <c r="AS301" s="575"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1"/>
      <c r="AU301" s="1303"/>
      <c r="AV301" s="555" t="str">
        <f>IF('別紙様式2-2（４・５月分）'!N229="","",'別紙様式2-2（４・５月分）'!N229)</f>
        <v/>
      </c>
      <c r="AW301" s="1305"/>
      <c r="AX301" s="576"/>
      <c r="AY301" s="1222" t="str">
        <f>IF(OR(T301="新加算Ⅰ",T301="新加算Ⅱ",T301="新加算Ⅲ",T301="新加算Ⅳ",T301="新加算Ⅴ（１）",T301="新加算Ⅴ（２）",T301="新加算Ⅴ（３）",T301="新加算ⅠⅤ（４）",T301="新加算Ⅴ（５）",T301="新加算Ⅴ（６）",T301="新加算Ⅴ（８）",T301="新加算Ⅴ（11）"),IF(AI301="○","","未入力"),"")</f>
        <v/>
      </c>
      <c r="AZ301" s="1222" t="str">
        <f>IF(OR(U301="新加算Ⅰ",U301="新加算Ⅱ",U301="新加算Ⅲ",U301="新加算Ⅳ",U301="新加算Ⅴ（１）",U301="新加算Ⅴ（２）",U301="新加算Ⅴ（３）",U301="新加算ⅠⅤ（４）",U301="新加算Ⅴ（５）",U301="新加算Ⅴ（６）",U301="新加算Ⅴ（８）",U301="新加算Ⅴ（11）"),IF(AJ301="○","","未入力"),"")</f>
        <v/>
      </c>
      <c r="BA301" s="1222" t="str">
        <f>IF(OR(U301="新加算Ⅴ（７）",U301="新加算Ⅴ（９）",U301="新加算Ⅴ（10）",U301="新加算Ⅴ（12）",U301="新加算Ⅴ（13）",U301="新加算Ⅴ（14）"),IF(AK301="○","","未入力"),"")</f>
        <v/>
      </c>
      <c r="BB301" s="1222" t="str">
        <f>IF(OR(U301="新加算Ⅰ",U301="新加算Ⅱ",U301="新加算Ⅲ",U301="新加算Ⅴ（１）",U301="新加算Ⅴ（３）",U301="新加算Ⅴ（８）"),IF(AL301="○","","未入力"),"")</f>
        <v/>
      </c>
      <c r="BC301" s="1472"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03" t="str">
        <f>IF(AND(T301&lt;&gt;"（参考）令和７年度の移行予定",OR(U301="新加算Ⅰ",U301="新加算Ⅴ（１）",U301="新加算Ⅴ（２）",U301="新加算Ⅴ（５）",U301="新加算Ⅴ（７）",U301="新加算Ⅴ（10）")),IF(AN301="","未入力",IF(AN301="いずれも取得していない","要件を満たさない","")),"")</f>
        <v/>
      </c>
      <c r="BE301" s="1303" t="str">
        <f>G298</f>
        <v/>
      </c>
      <c r="BF301" s="1303"/>
      <c r="BG301" s="1303"/>
    </row>
    <row r="302" spans="1:59" ht="30" customHeight="1">
      <c r="A302" s="1266">
        <v>73</v>
      </c>
      <c r="B302" s="1235" t="str">
        <f>IF(基本情報入力シート!C126="","",基本情報入力シート!C126)</f>
        <v/>
      </c>
      <c r="C302" s="1236"/>
      <c r="D302" s="1236"/>
      <c r="E302" s="1236"/>
      <c r="F302" s="1237"/>
      <c r="G302" s="1252" t="str">
        <f>IF(基本情報入力シート!M126="","",基本情報入力シート!M126)</f>
        <v/>
      </c>
      <c r="H302" s="1252" t="str">
        <f>IF(基本情報入力シート!R126="","",基本情報入力シート!R126)</f>
        <v/>
      </c>
      <c r="I302" s="1252" t="str">
        <f>IF(基本情報入力シート!W126="","",基本情報入力シート!W126)</f>
        <v/>
      </c>
      <c r="J302" s="1415" t="str">
        <f>IF(基本情報入力シート!X126="","",基本情報入力シート!X126)</f>
        <v/>
      </c>
      <c r="K302" s="1252" t="str">
        <f>IF(基本情報入力シート!Y126="","",基本情報入力シート!Y126)</f>
        <v/>
      </c>
      <c r="L302" s="1421" t="str">
        <f>IF(基本情報入力シート!AB126="","",基本情報入力シート!AB126)</f>
        <v/>
      </c>
      <c r="M302" s="550" t="str">
        <f>IF('別紙様式2-2（４・５月分）'!P230="","",'別紙様式2-2（４・５月分）'!P230)</f>
        <v/>
      </c>
      <c r="N302" s="1391" t="str">
        <f>IF(SUM('別紙様式2-2（４・５月分）'!Q230:Q232)=0,"",SUM('別紙様式2-2（４・５月分）'!Q230:Q232))</f>
        <v/>
      </c>
      <c r="O302" s="1395" t="str">
        <f>IFERROR(VLOOKUP('別紙様式2-2（４・５月分）'!AQ230,【参考】数式用!$AR$5:$AS$22,2,FALSE),"")</f>
        <v/>
      </c>
      <c r="P302" s="1396"/>
      <c r="Q302" s="1397"/>
      <c r="R302" s="1531" t="str">
        <f>IFERROR(VLOOKUP(K302,【参考】数式用!$A$5:$AB$37,MATCH(O302,【参考】数式用!$B$4:$AB$4,0)+1,0),"")</f>
        <v/>
      </c>
      <c r="S302" s="1403" t="s">
        <v>2102</v>
      </c>
      <c r="T302" s="1527" t="str">
        <f>IF('別紙様式2-3（６月以降分）'!T302="","",'別紙様式2-3（６月以降分）'!T302)</f>
        <v/>
      </c>
      <c r="U302" s="1529" t="str">
        <f>IFERROR(VLOOKUP(K302,【参考】数式用!$A$5:$AB$37,MATCH(T302,【参考】数式用!$B$4:$AB$4,0)+1,0),"")</f>
        <v/>
      </c>
      <c r="V302" s="1409" t="s">
        <v>15</v>
      </c>
      <c r="W302" s="1525">
        <f>'別紙様式2-3（６月以降分）'!W302</f>
        <v>6</v>
      </c>
      <c r="X302" s="1349" t="s">
        <v>10</v>
      </c>
      <c r="Y302" s="1525">
        <f>'別紙様式2-3（６月以降分）'!Y302</f>
        <v>6</v>
      </c>
      <c r="Z302" s="1349" t="s">
        <v>38</v>
      </c>
      <c r="AA302" s="1525">
        <f>'別紙様式2-3（６月以降分）'!AA302</f>
        <v>7</v>
      </c>
      <c r="AB302" s="1349" t="s">
        <v>10</v>
      </c>
      <c r="AC302" s="1525">
        <f>'別紙様式2-3（６月以降分）'!AC302</f>
        <v>3</v>
      </c>
      <c r="AD302" s="1349" t="s">
        <v>2020</v>
      </c>
      <c r="AE302" s="1349" t="s">
        <v>20</v>
      </c>
      <c r="AF302" s="1349">
        <f>IF(W302&gt;=1,(AA302*12+AC302)-(W302*12+Y302)+1,"")</f>
        <v>10</v>
      </c>
      <c r="AG302" s="1351" t="s">
        <v>33</v>
      </c>
      <c r="AH302" s="1517" t="str">
        <f>'別紙様式2-3（６月以降分）'!AH302</f>
        <v/>
      </c>
      <c r="AI302" s="1519" t="str">
        <f>'別紙様式2-3（６月以降分）'!AI302</f>
        <v/>
      </c>
      <c r="AJ302" s="1521">
        <f>'別紙様式2-3（６月以降分）'!AJ302</f>
        <v>0</v>
      </c>
      <c r="AK302" s="1523" t="str">
        <f>IF('別紙様式2-3（６月以降分）'!AK302="","",'別紙様式2-3（６月以降分）'!AK302)</f>
        <v/>
      </c>
      <c r="AL302" s="1512">
        <f>'別紙様式2-3（６月以降分）'!AL302</f>
        <v>0</v>
      </c>
      <c r="AM302" s="1514" t="str">
        <f>IF('別紙様式2-3（６月以降分）'!AM302="","",'別紙様式2-3（６月以降分）'!AM302)</f>
        <v/>
      </c>
      <c r="AN302" s="1333" t="str">
        <f>IF('別紙様式2-3（６月以降分）'!AN302="","",'別紙様式2-3（６月以降分）'!AN302)</f>
        <v/>
      </c>
      <c r="AO302" s="1331" t="str">
        <f>IF('別紙様式2-3（６月以降分）'!AO302="","",'別紙様式2-3（６月以降分）'!AO302)</f>
        <v/>
      </c>
      <c r="AP302" s="1333" t="str">
        <f>IF('別紙様式2-3（６月以降分）'!AP302="","",'別紙様式2-3（６月以降分）'!AP302)</f>
        <v/>
      </c>
      <c r="AQ302" s="1481" t="str">
        <f>IF('別紙様式2-3（６月以降分）'!AQ302="","",'別紙様式2-3（６月以降分）'!AQ302)</f>
        <v/>
      </c>
      <c r="AR302" s="1484" t="str">
        <f>IF('別紙様式2-3（６月以降分）'!AR302="","",'別紙様式2-3（６月以降分）'!AR302)</f>
        <v/>
      </c>
      <c r="AS302" s="570" t="str">
        <f t="shared" ref="AS302" si="497">IF(AU304="","",IF(U304&lt;U302,"！加算の要件上は問題ありませんが、令和６年度当初の新加算の加算率と比較して、移行後の加算率が下がる計画になっています。",""))</f>
        <v/>
      </c>
      <c r="AT302" s="577"/>
      <c r="AU302" s="1301"/>
      <c r="AV302" s="555" t="str">
        <f>IF('別紙様式2-2（４・５月分）'!N230="","",'別紙様式2-2（４・５月分）'!N230)</f>
        <v/>
      </c>
      <c r="AW302" s="1305" t="str">
        <f>IF(SUM('別紙様式2-2（４・５月分）'!O230:O232)=0,"",SUM('別紙様式2-2（４・５月分）'!O230:O232))</f>
        <v/>
      </c>
      <c r="AX302" s="1473" t="str">
        <f>IFERROR(VLOOKUP(K302,【参考】数式用!$AH$2:$AI$34,2,FALSE),"")</f>
        <v/>
      </c>
      <c r="AY302" s="493"/>
      <c r="BD302" s="340"/>
      <c r="BE302" s="1303" t="str">
        <f>G302</f>
        <v/>
      </c>
      <c r="BF302" s="1303"/>
      <c r="BG302" s="1303"/>
    </row>
    <row r="303" spans="1:59" ht="15" customHeight="1">
      <c r="A303" s="1267"/>
      <c r="B303" s="1235"/>
      <c r="C303" s="1236"/>
      <c r="D303" s="1236"/>
      <c r="E303" s="1236"/>
      <c r="F303" s="1237"/>
      <c r="G303" s="1252"/>
      <c r="H303" s="1252"/>
      <c r="I303" s="1252"/>
      <c r="J303" s="1415"/>
      <c r="K303" s="1252"/>
      <c r="L303" s="1421"/>
      <c r="M303" s="1371" t="str">
        <f>IF('別紙様式2-2（４・５月分）'!P231="","",'別紙様式2-2（４・５月分）'!P231)</f>
        <v/>
      </c>
      <c r="N303" s="1392"/>
      <c r="O303" s="1398"/>
      <c r="P303" s="1399"/>
      <c r="Q303" s="1400"/>
      <c r="R303" s="1532"/>
      <c r="S303" s="1404"/>
      <c r="T303" s="1528"/>
      <c r="U303" s="1530"/>
      <c r="V303" s="1410"/>
      <c r="W303" s="1526"/>
      <c r="X303" s="1350"/>
      <c r="Y303" s="1526"/>
      <c r="Z303" s="1350"/>
      <c r="AA303" s="1526"/>
      <c r="AB303" s="1350"/>
      <c r="AC303" s="1526"/>
      <c r="AD303" s="1350"/>
      <c r="AE303" s="1350"/>
      <c r="AF303" s="1350"/>
      <c r="AG303" s="1352"/>
      <c r="AH303" s="1518"/>
      <c r="AI303" s="1520"/>
      <c r="AJ303" s="1522"/>
      <c r="AK303" s="1524"/>
      <c r="AL303" s="1513"/>
      <c r="AM303" s="1515"/>
      <c r="AN303" s="1334"/>
      <c r="AO303" s="1516"/>
      <c r="AP303" s="1334"/>
      <c r="AQ303" s="1482"/>
      <c r="AR303" s="1485"/>
      <c r="AS303" s="1483" t="str">
        <f t="shared" ref="AS303" si="498">IF(AU304="","",IF(OR(AA304="",AA304&lt;&gt;7,AC304="",AC304&lt;&gt;3),"！算定期間の終わりが令和７年３月になっていません。年度内の廃止予定等がなければ、算定対象月を令和７年３月にしてください。",""))</f>
        <v/>
      </c>
      <c r="AT303" s="577"/>
      <c r="AU303" s="1303"/>
      <c r="AV303" s="1304" t="str">
        <f>IF('別紙様式2-2（４・５月分）'!N231="","",'別紙様式2-2（４・５月分）'!N231)</f>
        <v/>
      </c>
      <c r="AW303" s="1305"/>
      <c r="AX303" s="1474"/>
      <c r="AY303" s="430"/>
      <c r="BD303" s="340"/>
      <c r="BE303" s="1303" t="str">
        <f>G302</f>
        <v/>
      </c>
      <c r="BF303" s="1303"/>
      <c r="BG303" s="1303"/>
    </row>
    <row r="304" spans="1:59" ht="15" customHeight="1">
      <c r="A304" s="1295"/>
      <c r="B304" s="1235"/>
      <c r="C304" s="1236"/>
      <c r="D304" s="1236"/>
      <c r="E304" s="1236"/>
      <c r="F304" s="1237"/>
      <c r="G304" s="1252"/>
      <c r="H304" s="1252"/>
      <c r="I304" s="1252"/>
      <c r="J304" s="1415"/>
      <c r="K304" s="1252"/>
      <c r="L304" s="1421"/>
      <c r="M304" s="1372"/>
      <c r="N304" s="1393"/>
      <c r="O304" s="1373" t="s">
        <v>2025</v>
      </c>
      <c r="P304" s="1425" t="str">
        <f>IFERROR(VLOOKUP('別紙様式2-2（４・５月分）'!AQ230,【参考】数式用!$AR$5:$AT$22,3,FALSE),"")</f>
        <v/>
      </c>
      <c r="Q304" s="1377" t="s">
        <v>2036</v>
      </c>
      <c r="R304" s="1508" t="str">
        <f>IFERROR(VLOOKUP(K302,【参考】数式用!$A$5:$AB$37,MATCH(P304,【参考】数式用!$B$4:$AB$4,0)+1,0),"")</f>
        <v/>
      </c>
      <c r="S304" s="1381" t="s">
        <v>2109</v>
      </c>
      <c r="T304" s="1510"/>
      <c r="U304" s="1506" t="str">
        <f>IFERROR(VLOOKUP(K302,【参考】数式用!$A$5:$AB$37,MATCH(T304,【参考】数式用!$B$4:$AB$4,0)+1,0),"")</f>
        <v/>
      </c>
      <c r="V304" s="1387" t="s">
        <v>15</v>
      </c>
      <c r="W304" s="1504"/>
      <c r="X304" s="1363" t="s">
        <v>10</v>
      </c>
      <c r="Y304" s="1504"/>
      <c r="Z304" s="1363" t="s">
        <v>38</v>
      </c>
      <c r="AA304" s="1504"/>
      <c r="AB304" s="1363" t="s">
        <v>10</v>
      </c>
      <c r="AC304" s="1504"/>
      <c r="AD304" s="1363" t="s">
        <v>2020</v>
      </c>
      <c r="AE304" s="1363" t="s">
        <v>20</v>
      </c>
      <c r="AF304" s="1363" t="str">
        <f>IF(W304&gt;=1,(AA304*12+AC304)-(W304*12+Y304)+1,"")</f>
        <v/>
      </c>
      <c r="AG304" s="1359" t="s">
        <v>33</v>
      </c>
      <c r="AH304" s="1365" t="str">
        <f t="shared" ref="AH304" si="499">IFERROR(ROUNDDOWN(ROUND(L302*U304,0),0)*AF304,"")</f>
        <v/>
      </c>
      <c r="AI304" s="1498" t="str">
        <f t="shared" ref="AI304" si="500">IFERROR(ROUNDDOWN(ROUND((L302*(U304-AW302)),0),0)*AF304,"")</f>
        <v/>
      </c>
      <c r="AJ304" s="1369" t="str">
        <f>IFERROR(ROUNDDOWN(ROUNDDOWN(ROUND(L302*VLOOKUP(K302,【参考】数式用!$A$5:$AB$27,MATCH("新加算Ⅳ",【参考】数式用!$B$4:$AB$4,0)+1,0),0),0)*AF304*0.5,0),"")</f>
        <v/>
      </c>
      <c r="AK304" s="1500"/>
      <c r="AL304" s="1502" t="str">
        <f>IFERROR(IF('別紙様式2-2（４・５月分）'!P304="ベア加算","", IF(OR(T304="新加算Ⅰ",T304="新加算Ⅱ",T304="新加算Ⅲ",T304="新加算Ⅳ"),ROUNDDOWN(ROUND(L302*VLOOKUP(K302,【参考】数式用!$A$5:$I$27,MATCH("ベア加算",【参考】数式用!$B$4:$I$4,0)+1,0),0),0)*AF304,"")),"")</f>
        <v/>
      </c>
      <c r="AM304" s="1494"/>
      <c r="AN304" s="1475"/>
      <c r="AO304" s="1496"/>
      <c r="AP304" s="1475"/>
      <c r="AQ304" s="1477"/>
      <c r="AR304" s="1479"/>
      <c r="AS304" s="1483"/>
      <c r="AT304" s="451"/>
      <c r="AU304" s="1303" t="str">
        <f>IF(AND(AA302&lt;&gt;7,AC302&lt;&gt;3),"V列に色付け","")</f>
        <v/>
      </c>
      <c r="AV304" s="1304"/>
      <c r="AW304" s="1305"/>
      <c r="AX304" s="574"/>
      <c r="AY304" s="1222" t="str">
        <f>IF(AL304&lt;&gt;"",IF(AM304="○","入力済","未入力"),"")</f>
        <v/>
      </c>
      <c r="AZ304" s="1222"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2" t="str">
        <f>IF(OR(T304="新加算Ⅴ（７）",T304="新加算Ⅴ（９）",T304="新加算Ⅴ（10）",T304="新加算Ⅴ（12）",T304="新加算Ⅴ（13）",T304="新加算Ⅴ（14）"),IF(OR(AO304="○",AO304="令和６年度中に満たす"),"入力済","未入力"),"")</f>
        <v/>
      </c>
      <c r="BB304" s="1222" t="str">
        <f>IF(OR(T304="新加算Ⅰ",T304="新加算Ⅱ",T304="新加算Ⅲ",T304="新加算Ⅴ（１）",T304="新加算Ⅴ（３）",T304="新加算Ⅴ（８）"),IF(OR(AP304="○",AP304="令和６年度中に満たす"),"入力済","未入力"),"")</f>
        <v/>
      </c>
      <c r="BC304" s="1472"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03" t="str">
        <f>IF(OR(T304="新加算Ⅰ",T304="新加算Ⅴ（１）",T304="新加算Ⅴ（２）",T304="新加算Ⅴ（５）",T304="新加算Ⅴ（７）",T304="新加算Ⅴ（10）"),IF(AR304="","未入力","入力済"),"")</f>
        <v/>
      </c>
      <c r="BE304" s="1303" t="str">
        <f>G302</f>
        <v/>
      </c>
      <c r="BF304" s="1303"/>
      <c r="BG304" s="1303"/>
    </row>
    <row r="305" spans="1:59" ht="30" customHeight="1" thickBot="1">
      <c r="A305" s="1268"/>
      <c r="B305" s="1411"/>
      <c r="C305" s="1412"/>
      <c r="D305" s="1412"/>
      <c r="E305" s="1412"/>
      <c r="F305" s="1413"/>
      <c r="G305" s="1253"/>
      <c r="H305" s="1253"/>
      <c r="I305" s="1253"/>
      <c r="J305" s="1416"/>
      <c r="K305" s="1253"/>
      <c r="L305" s="1422"/>
      <c r="M305" s="553" t="str">
        <f>IF('別紙様式2-2（４・５月分）'!P232="","",'別紙様式2-2（４・５月分）'!P232)</f>
        <v/>
      </c>
      <c r="N305" s="1394"/>
      <c r="O305" s="1374"/>
      <c r="P305" s="1426"/>
      <c r="Q305" s="1378"/>
      <c r="R305" s="1509"/>
      <c r="S305" s="1382"/>
      <c r="T305" s="1511"/>
      <c r="U305" s="1507"/>
      <c r="V305" s="1388"/>
      <c r="W305" s="1505"/>
      <c r="X305" s="1364"/>
      <c r="Y305" s="1505"/>
      <c r="Z305" s="1364"/>
      <c r="AA305" s="1505"/>
      <c r="AB305" s="1364"/>
      <c r="AC305" s="1505"/>
      <c r="AD305" s="1364"/>
      <c r="AE305" s="1364"/>
      <c r="AF305" s="1364"/>
      <c r="AG305" s="1360"/>
      <c r="AH305" s="1366"/>
      <c r="AI305" s="1499"/>
      <c r="AJ305" s="1370"/>
      <c r="AK305" s="1501"/>
      <c r="AL305" s="1503"/>
      <c r="AM305" s="1495"/>
      <c r="AN305" s="1476"/>
      <c r="AO305" s="1497"/>
      <c r="AP305" s="1476"/>
      <c r="AQ305" s="1478"/>
      <c r="AR305" s="1480"/>
      <c r="AS305" s="575"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1"/>
      <c r="AU305" s="1303"/>
      <c r="AV305" s="555" t="str">
        <f>IF('別紙様式2-2（４・５月分）'!N232="","",'別紙様式2-2（４・５月分）'!N232)</f>
        <v/>
      </c>
      <c r="AW305" s="1305"/>
      <c r="AX305" s="576"/>
      <c r="AY305" s="1222" t="str">
        <f>IF(OR(T305="新加算Ⅰ",T305="新加算Ⅱ",T305="新加算Ⅲ",T305="新加算Ⅳ",T305="新加算Ⅴ（１）",T305="新加算Ⅴ（２）",T305="新加算Ⅴ（３）",T305="新加算ⅠⅤ（４）",T305="新加算Ⅴ（５）",T305="新加算Ⅴ（６）",T305="新加算Ⅴ（８）",T305="新加算Ⅴ（11）"),IF(AI305="○","","未入力"),"")</f>
        <v/>
      </c>
      <c r="AZ305" s="1222" t="str">
        <f>IF(OR(U305="新加算Ⅰ",U305="新加算Ⅱ",U305="新加算Ⅲ",U305="新加算Ⅳ",U305="新加算Ⅴ（１）",U305="新加算Ⅴ（２）",U305="新加算Ⅴ（３）",U305="新加算ⅠⅤ（４）",U305="新加算Ⅴ（５）",U305="新加算Ⅴ（６）",U305="新加算Ⅴ（８）",U305="新加算Ⅴ（11）"),IF(AJ305="○","","未入力"),"")</f>
        <v/>
      </c>
      <c r="BA305" s="1222" t="str">
        <f>IF(OR(U305="新加算Ⅴ（７）",U305="新加算Ⅴ（９）",U305="新加算Ⅴ（10）",U305="新加算Ⅴ（12）",U305="新加算Ⅴ（13）",U305="新加算Ⅴ（14）"),IF(AK305="○","","未入力"),"")</f>
        <v/>
      </c>
      <c r="BB305" s="1222" t="str">
        <f>IF(OR(U305="新加算Ⅰ",U305="新加算Ⅱ",U305="新加算Ⅲ",U305="新加算Ⅴ（１）",U305="新加算Ⅴ（３）",U305="新加算Ⅴ（８）"),IF(AL305="○","","未入力"),"")</f>
        <v/>
      </c>
      <c r="BC305" s="1472"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03" t="str">
        <f>IF(AND(T305&lt;&gt;"（参考）令和７年度の移行予定",OR(U305="新加算Ⅰ",U305="新加算Ⅴ（１）",U305="新加算Ⅴ（２）",U305="新加算Ⅴ（５）",U305="新加算Ⅴ（７）",U305="新加算Ⅴ（10）")),IF(AN305="","未入力",IF(AN305="いずれも取得していない","要件を満たさない","")),"")</f>
        <v/>
      </c>
      <c r="BE305" s="1303" t="str">
        <f>G302</f>
        <v/>
      </c>
      <c r="BF305" s="1303"/>
      <c r="BG305" s="1303"/>
    </row>
    <row r="306" spans="1:59" ht="30" customHeight="1">
      <c r="A306" s="1293">
        <v>74</v>
      </c>
      <c r="B306" s="1235" t="str">
        <f>IF(基本情報入力シート!C127="","",基本情報入力シート!C127)</f>
        <v/>
      </c>
      <c r="C306" s="1236"/>
      <c r="D306" s="1236"/>
      <c r="E306" s="1236"/>
      <c r="F306" s="1237"/>
      <c r="G306" s="1252" t="str">
        <f>IF(基本情報入力シート!M127="","",基本情報入力シート!M127)</f>
        <v/>
      </c>
      <c r="H306" s="1252" t="str">
        <f>IF(基本情報入力シート!R127="","",基本情報入力シート!R127)</f>
        <v/>
      </c>
      <c r="I306" s="1252" t="str">
        <f>IF(基本情報入力シート!W127="","",基本情報入力シート!W127)</f>
        <v/>
      </c>
      <c r="J306" s="1415" t="str">
        <f>IF(基本情報入力シート!X127="","",基本情報入力シート!X127)</f>
        <v/>
      </c>
      <c r="K306" s="1252" t="str">
        <f>IF(基本情報入力シート!Y127="","",基本情報入力シート!Y127)</f>
        <v/>
      </c>
      <c r="L306" s="1421" t="str">
        <f>IF(基本情報入力シート!AB127="","",基本情報入力シート!AB127)</f>
        <v/>
      </c>
      <c r="M306" s="550" t="str">
        <f>IF('別紙様式2-2（４・５月分）'!P233="","",'別紙様式2-2（４・５月分）'!P233)</f>
        <v/>
      </c>
      <c r="N306" s="1391" t="str">
        <f>IF(SUM('別紙様式2-2（４・５月分）'!Q233:Q235)=0,"",SUM('別紙様式2-2（４・５月分）'!Q233:Q235))</f>
        <v/>
      </c>
      <c r="O306" s="1395" t="str">
        <f>IFERROR(VLOOKUP('別紙様式2-2（４・５月分）'!AQ233,【参考】数式用!$AR$5:$AS$22,2,FALSE),"")</f>
        <v/>
      </c>
      <c r="P306" s="1396"/>
      <c r="Q306" s="1397"/>
      <c r="R306" s="1531" t="str">
        <f>IFERROR(VLOOKUP(K306,【参考】数式用!$A$5:$AB$37,MATCH(O306,【参考】数式用!$B$4:$AB$4,0)+1,0),"")</f>
        <v/>
      </c>
      <c r="S306" s="1403" t="s">
        <v>2102</v>
      </c>
      <c r="T306" s="1527" t="str">
        <f>IF('別紙様式2-3（６月以降分）'!T306="","",'別紙様式2-3（６月以降分）'!T306)</f>
        <v/>
      </c>
      <c r="U306" s="1529" t="str">
        <f>IFERROR(VLOOKUP(K306,【参考】数式用!$A$5:$AB$37,MATCH(T306,【参考】数式用!$B$4:$AB$4,0)+1,0),"")</f>
        <v/>
      </c>
      <c r="V306" s="1409" t="s">
        <v>15</v>
      </c>
      <c r="W306" s="1525">
        <f>'別紙様式2-3（６月以降分）'!W306</f>
        <v>6</v>
      </c>
      <c r="X306" s="1349" t="s">
        <v>10</v>
      </c>
      <c r="Y306" s="1525">
        <f>'別紙様式2-3（６月以降分）'!Y306</f>
        <v>6</v>
      </c>
      <c r="Z306" s="1349" t="s">
        <v>38</v>
      </c>
      <c r="AA306" s="1525">
        <f>'別紙様式2-3（６月以降分）'!AA306</f>
        <v>7</v>
      </c>
      <c r="AB306" s="1349" t="s">
        <v>10</v>
      </c>
      <c r="AC306" s="1525">
        <f>'別紙様式2-3（６月以降分）'!AC306</f>
        <v>3</v>
      </c>
      <c r="AD306" s="1349" t="s">
        <v>2020</v>
      </c>
      <c r="AE306" s="1349" t="s">
        <v>20</v>
      </c>
      <c r="AF306" s="1349">
        <f>IF(W306&gt;=1,(AA306*12+AC306)-(W306*12+Y306)+1,"")</f>
        <v>10</v>
      </c>
      <c r="AG306" s="1351" t="s">
        <v>33</v>
      </c>
      <c r="AH306" s="1517" t="str">
        <f>'別紙様式2-3（６月以降分）'!AH306</f>
        <v/>
      </c>
      <c r="AI306" s="1519" t="str">
        <f>'別紙様式2-3（６月以降分）'!AI306</f>
        <v/>
      </c>
      <c r="AJ306" s="1521">
        <f>'別紙様式2-3（６月以降分）'!AJ306</f>
        <v>0</v>
      </c>
      <c r="AK306" s="1523" t="str">
        <f>IF('別紙様式2-3（６月以降分）'!AK306="","",'別紙様式2-3（６月以降分）'!AK306)</f>
        <v/>
      </c>
      <c r="AL306" s="1512">
        <f>'別紙様式2-3（６月以降分）'!AL306</f>
        <v>0</v>
      </c>
      <c r="AM306" s="1514" t="str">
        <f>IF('別紙様式2-3（６月以降分）'!AM306="","",'別紙様式2-3（６月以降分）'!AM306)</f>
        <v/>
      </c>
      <c r="AN306" s="1333" t="str">
        <f>IF('別紙様式2-3（６月以降分）'!AN306="","",'別紙様式2-3（６月以降分）'!AN306)</f>
        <v/>
      </c>
      <c r="AO306" s="1331" t="str">
        <f>IF('別紙様式2-3（６月以降分）'!AO306="","",'別紙様式2-3（６月以降分）'!AO306)</f>
        <v/>
      </c>
      <c r="AP306" s="1333" t="str">
        <f>IF('別紙様式2-3（６月以降分）'!AP306="","",'別紙様式2-3（６月以降分）'!AP306)</f>
        <v/>
      </c>
      <c r="AQ306" s="1481" t="str">
        <f>IF('別紙様式2-3（６月以降分）'!AQ306="","",'別紙様式2-3（６月以降分）'!AQ306)</f>
        <v/>
      </c>
      <c r="AR306" s="1484" t="str">
        <f>IF('別紙様式2-3（６月以降分）'!AR306="","",'別紙様式2-3（６月以降分）'!AR306)</f>
        <v/>
      </c>
      <c r="AS306" s="570" t="str">
        <f t="shared" ref="AS306" si="504">IF(AU308="","",IF(U308&lt;U306,"！加算の要件上は問題ありませんが、令和６年度当初の新加算の加算率と比較して、移行後の加算率が下がる計画になっています。",""))</f>
        <v/>
      </c>
      <c r="AT306" s="577"/>
      <c r="AU306" s="1301"/>
      <c r="AV306" s="555" t="str">
        <f>IF('別紙様式2-2（４・５月分）'!N233="","",'別紙様式2-2（４・５月分）'!N233)</f>
        <v/>
      </c>
      <c r="AW306" s="1305" t="str">
        <f>IF(SUM('別紙様式2-2（４・５月分）'!O233:O235)=0,"",SUM('別紙様式2-2（４・５月分）'!O233:O235))</f>
        <v/>
      </c>
      <c r="AX306" s="1473" t="str">
        <f>IFERROR(VLOOKUP(K306,【参考】数式用!$AH$2:$AI$34,2,FALSE),"")</f>
        <v/>
      </c>
      <c r="AY306" s="493"/>
      <c r="BD306" s="340"/>
      <c r="BE306" s="1303" t="str">
        <f>G306</f>
        <v/>
      </c>
      <c r="BF306" s="1303"/>
      <c r="BG306" s="1303"/>
    </row>
    <row r="307" spans="1:59" ht="15" customHeight="1">
      <c r="A307" s="1267"/>
      <c r="B307" s="1235"/>
      <c r="C307" s="1236"/>
      <c r="D307" s="1236"/>
      <c r="E307" s="1236"/>
      <c r="F307" s="1237"/>
      <c r="G307" s="1252"/>
      <c r="H307" s="1252"/>
      <c r="I307" s="1252"/>
      <c r="J307" s="1415"/>
      <c r="K307" s="1252"/>
      <c r="L307" s="1421"/>
      <c r="M307" s="1371" t="str">
        <f>IF('別紙様式2-2（４・５月分）'!P234="","",'別紙様式2-2（４・５月分）'!P234)</f>
        <v/>
      </c>
      <c r="N307" s="1392"/>
      <c r="O307" s="1398"/>
      <c r="P307" s="1399"/>
      <c r="Q307" s="1400"/>
      <c r="R307" s="1532"/>
      <c r="S307" s="1404"/>
      <c r="T307" s="1528"/>
      <c r="U307" s="1530"/>
      <c r="V307" s="1410"/>
      <c r="W307" s="1526"/>
      <c r="X307" s="1350"/>
      <c r="Y307" s="1526"/>
      <c r="Z307" s="1350"/>
      <c r="AA307" s="1526"/>
      <c r="AB307" s="1350"/>
      <c r="AC307" s="1526"/>
      <c r="AD307" s="1350"/>
      <c r="AE307" s="1350"/>
      <c r="AF307" s="1350"/>
      <c r="AG307" s="1352"/>
      <c r="AH307" s="1518"/>
      <c r="AI307" s="1520"/>
      <c r="AJ307" s="1522"/>
      <c r="AK307" s="1524"/>
      <c r="AL307" s="1513"/>
      <c r="AM307" s="1515"/>
      <c r="AN307" s="1334"/>
      <c r="AO307" s="1516"/>
      <c r="AP307" s="1334"/>
      <c r="AQ307" s="1482"/>
      <c r="AR307" s="1485"/>
      <c r="AS307" s="1483" t="str">
        <f t="shared" ref="AS307" si="505">IF(AU308="","",IF(OR(AA308="",AA308&lt;&gt;7,AC308="",AC308&lt;&gt;3),"！算定期間の終わりが令和７年３月になっていません。年度内の廃止予定等がなければ、算定対象月を令和７年３月にしてください。",""))</f>
        <v/>
      </c>
      <c r="AT307" s="577"/>
      <c r="AU307" s="1303"/>
      <c r="AV307" s="1304" t="str">
        <f>IF('別紙様式2-2（４・５月分）'!N234="","",'別紙様式2-2（４・５月分）'!N234)</f>
        <v/>
      </c>
      <c r="AW307" s="1305"/>
      <c r="AX307" s="1474"/>
      <c r="AY307" s="430"/>
      <c r="BD307" s="340"/>
      <c r="BE307" s="1303" t="str">
        <f>G306</f>
        <v/>
      </c>
      <c r="BF307" s="1303"/>
      <c r="BG307" s="1303"/>
    </row>
    <row r="308" spans="1:59" ht="15" customHeight="1">
      <c r="A308" s="1295"/>
      <c r="B308" s="1235"/>
      <c r="C308" s="1236"/>
      <c r="D308" s="1236"/>
      <c r="E308" s="1236"/>
      <c r="F308" s="1237"/>
      <c r="G308" s="1252"/>
      <c r="H308" s="1252"/>
      <c r="I308" s="1252"/>
      <c r="J308" s="1415"/>
      <c r="K308" s="1252"/>
      <c r="L308" s="1421"/>
      <c r="M308" s="1372"/>
      <c r="N308" s="1393"/>
      <c r="O308" s="1373" t="s">
        <v>2025</v>
      </c>
      <c r="P308" s="1425" t="str">
        <f>IFERROR(VLOOKUP('別紙様式2-2（４・５月分）'!AQ233,【参考】数式用!$AR$5:$AT$22,3,FALSE),"")</f>
        <v/>
      </c>
      <c r="Q308" s="1377" t="s">
        <v>2036</v>
      </c>
      <c r="R308" s="1508" t="str">
        <f>IFERROR(VLOOKUP(K306,【参考】数式用!$A$5:$AB$37,MATCH(P308,【参考】数式用!$B$4:$AB$4,0)+1,0),"")</f>
        <v/>
      </c>
      <c r="S308" s="1381" t="s">
        <v>2109</v>
      </c>
      <c r="T308" s="1510"/>
      <c r="U308" s="1506" t="str">
        <f>IFERROR(VLOOKUP(K306,【参考】数式用!$A$5:$AB$37,MATCH(T308,【参考】数式用!$B$4:$AB$4,0)+1,0),"")</f>
        <v/>
      </c>
      <c r="V308" s="1387" t="s">
        <v>15</v>
      </c>
      <c r="W308" s="1504"/>
      <c r="X308" s="1363" t="s">
        <v>10</v>
      </c>
      <c r="Y308" s="1504"/>
      <c r="Z308" s="1363" t="s">
        <v>38</v>
      </c>
      <c r="AA308" s="1504"/>
      <c r="AB308" s="1363" t="s">
        <v>10</v>
      </c>
      <c r="AC308" s="1504"/>
      <c r="AD308" s="1363" t="s">
        <v>2020</v>
      </c>
      <c r="AE308" s="1363" t="s">
        <v>20</v>
      </c>
      <c r="AF308" s="1363" t="str">
        <f>IF(W308&gt;=1,(AA308*12+AC308)-(W308*12+Y308)+1,"")</f>
        <v/>
      </c>
      <c r="AG308" s="1359" t="s">
        <v>33</v>
      </c>
      <c r="AH308" s="1365" t="str">
        <f t="shared" ref="AH308" si="506">IFERROR(ROUNDDOWN(ROUND(L306*U308,0),0)*AF308,"")</f>
        <v/>
      </c>
      <c r="AI308" s="1498" t="str">
        <f t="shared" ref="AI308" si="507">IFERROR(ROUNDDOWN(ROUND((L306*(U308-AW306)),0),0)*AF308,"")</f>
        <v/>
      </c>
      <c r="AJ308" s="1369" t="str">
        <f>IFERROR(ROUNDDOWN(ROUNDDOWN(ROUND(L306*VLOOKUP(K306,【参考】数式用!$A$5:$AB$27,MATCH("新加算Ⅳ",【参考】数式用!$B$4:$AB$4,0)+1,0),0),0)*AF308*0.5,0),"")</f>
        <v/>
      </c>
      <c r="AK308" s="1500"/>
      <c r="AL308" s="1502" t="str">
        <f>IFERROR(IF('別紙様式2-2（４・５月分）'!P308="ベア加算","", IF(OR(T308="新加算Ⅰ",T308="新加算Ⅱ",T308="新加算Ⅲ",T308="新加算Ⅳ"),ROUNDDOWN(ROUND(L306*VLOOKUP(K306,【参考】数式用!$A$5:$I$27,MATCH("ベア加算",【参考】数式用!$B$4:$I$4,0)+1,0),0),0)*AF308,"")),"")</f>
        <v/>
      </c>
      <c r="AM308" s="1494"/>
      <c r="AN308" s="1475"/>
      <c r="AO308" s="1496"/>
      <c r="AP308" s="1475"/>
      <c r="AQ308" s="1477"/>
      <c r="AR308" s="1479"/>
      <c r="AS308" s="1483"/>
      <c r="AT308" s="451"/>
      <c r="AU308" s="1303" t="str">
        <f>IF(AND(AA306&lt;&gt;7,AC306&lt;&gt;3),"V列に色付け","")</f>
        <v/>
      </c>
      <c r="AV308" s="1304"/>
      <c r="AW308" s="1305"/>
      <c r="AX308" s="574"/>
      <c r="AY308" s="1222" t="str">
        <f>IF(AL308&lt;&gt;"",IF(AM308="○","入力済","未入力"),"")</f>
        <v/>
      </c>
      <c r="AZ308" s="1222"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2" t="str">
        <f>IF(OR(T308="新加算Ⅴ（７）",T308="新加算Ⅴ（９）",T308="新加算Ⅴ（10）",T308="新加算Ⅴ（12）",T308="新加算Ⅴ（13）",T308="新加算Ⅴ（14）"),IF(OR(AO308="○",AO308="令和６年度中に満たす"),"入力済","未入力"),"")</f>
        <v/>
      </c>
      <c r="BB308" s="1222" t="str">
        <f>IF(OR(T308="新加算Ⅰ",T308="新加算Ⅱ",T308="新加算Ⅲ",T308="新加算Ⅴ（１）",T308="新加算Ⅴ（３）",T308="新加算Ⅴ（８）"),IF(OR(AP308="○",AP308="令和６年度中に満たす"),"入力済","未入力"),"")</f>
        <v/>
      </c>
      <c r="BC308" s="1472"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03" t="str">
        <f>IF(OR(T308="新加算Ⅰ",T308="新加算Ⅴ（１）",T308="新加算Ⅴ（２）",T308="新加算Ⅴ（５）",T308="新加算Ⅴ（７）",T308="新加算Ⅴ（10）"),IF(AR308="","未入力","入力済"),"")</f>
        <v/>
      </c>
      <c r="BE308" s="1303" t="str">
        <f>G306</f>
        <v/>
      </c>
      <c r="BF308" s="1303"/>
      <c r="BG308" s="1303"/>
    </row>
    <row r="309" spans="1:59" ht="30" customHeight="1" thickBot="1">
      <c r="A309" s="1268"/>
      <c r="B309" s="1411"/>
      <c r="C309" s="1412"/>
      <c r="D309" s="1412"/>
      <c r="E309" s="1412"/>
      <c r="F309" s="1413"/>
      <c r="G309" s="1253"/>
      <c r="H309" s="1253"/>
      <c r="I309" s="1253"/>
      <c r="J309" s="1416"/>
      <c r="K309" s="1253"/>
      <c r="L309" s="1422"/>
      <c r="M309" s="553" t="str">
        <f>IF('別紙様式2-2（４・５月分）'!P235="","",'別紙様式2-2（４・５月分）'!P235)</f>
        <v/>
      </c>
      <c r="N309" s="1394"/>
      <c r="O309" s="1374"/>
      <c r="P309" s="1426"/>
      <c r="Q309" s="1378"/>
      <c r="R309" s="1509"/>
      <c r="S309" s="1382"/>
      <c r="T309" s="1511"/>
      <c r="U309" s="1507"/>
      <c r="V309" s="1388"/>
      <c r="W309" s="1505"/>
      <c r="X309" s="1364"/>
      <c r="Y309" s="1505"/>
      <c r="Z309" s="1364"/>
      <c r="AA309" s="1505"/>
      <c r="AB309" s="1364"/>
      <c r="AC309" s="1505"/>
      <c r="AD309" s="1364"/>
      <c r="AE309" s="1364"/>
      <c r="AF309" s="1364"/>
      <c r="AG309" s="1360"/>
      <c r="AH309" s="1366"/>
      <c r="AI309" s="1499"/>
      <c r="AJ309" s="1370"/>
      <c r="AK309" s="1501"/>
      <c r="AL309" s="1503"/>
      <c r="AM309" s="1495"/>
      <c r="AN309" s="1476"/>
      <c r="AO309" s="1497"/>
      <c r="AP309" s="1476"/>
      <c r="AQ309" s="1478"/>
      <c r="AR309" s="1480"/>
      <c r="AS309" s="575"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1"/>
      <c r="AU309" s="1303"/>
      <c r="AV309" s="555" t="str">
        <f>IF('別紙様式2-2（４・５月分）'!N235="","",'別紙様式2-2（４・５月分）'!N235)</f>
        <v/>
      </c>
      <c r="AW309" s="1305"/>
      <c r="AX309" s="576"/>
      <c r="AY309" s="1222" t="str">
        <f>IF(OR(T309="新加算Ⅰ",T309="新加算Ⅱ",T309="新加算Ⅲ",T309="新加算Ⅳ",T309="新加算Ⅴ（１）",T309="新加算Ⅴ（２）",T309="新加算Ⅴ（３）",T309="新加算ⅠⅤ（４）",T309="新加算Ⅴ（５）",T309="新加算Ⅴ（６）",T309="新加算Ⅴ（８）",T309="新加算Ⅴ（11）"),IF(AI309="○","","未入力"),"")</f>
        <v/>
      </c>
      <c r="AZ309" s="1222" t="str">
        <f>IF(OR(U309="新加算Ⅰ",U309="新加算Ⅱ",U309="新加算Ⅲ",U309="新加算Ⅳ",U309="新加算Ⅴ（１）",U309="新加算Ⅴ（２）",U309="新加算Ⅴ（３）",U309="新加算ⅠⅤ（４）",U309="新加算Ⅴ（５）",U309="新加算Ⅴ（６）",U309="新加算Ⅴ（８）",U309="新加算Ⅴ（11）"),IF(AJ309="○","","未入力"),"")</f>
        <v/>
      </c>
      <c r="BA309" s="1222" t="str">
        <f>IF(OR(U309="新加算Ⅴ（７）",U309="新加算Ⅴ（９）",U309="新加算Ⅴ（10）",U309="新加算Ⅴ（12）",U309="新加算Ⅴ（13）",U309="新加算Ⅴ（14）"),IF(AK309="○","","未入力"),"")</f>
        <v/>
      </c>
      <c r="BB309" s="1222" t="str">
        <f>IF(OR(U309="新加算Ⅰ",U309="新加算Ⅱ",U309="新加算Ⅲ",U309="新加算Ⅴ（１）",U309="新加算Ⅴ（３）",U309="新加算Ⅴ（８）"),IF(AL309="○","","未入力"),"")</f>
        <v/>
      </c>
      <c r="BC309" s="1472"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03" t="str">
        <f>IF(AND(T309&lt;&gt;"（参考）令和７年度の移行予定",OR(U309="新加算Ⅰ",U309="新加算Ⅴ（１）",U309="新加算Ⅴ（２）",U309="新加算Ⅴ（５）",U309="新加算Ⅴ（７）",U309="新加算Ⅴ（10）")),IF(AN309="","未入力",IF(AN309="いずれも取得していない","要件を満たさない","")),"")</f>
        <v/>
      </c>
      <c r="BE309" s="1303" t="str">
        <f>G306</f>
        <v/>
      </c>
      <c r="BF309" s="1303"/>
      <c r="BG309" s="1303"/>
    </row>
    <row r="310" spans="1:59" ht="30" customHeight="1">
      <c r="A310" s="1266">
        <v>75</v>
      </c>
      <c r="B310" s="1232" t="str">
        <f>IF(基本情報入力シート!C128="","",基本情報入力シート!C128)</f>
        <v/>
      </c>
      <c r="C310" s="1233"/>
      <c r="D310" s="1233"/>
      <c r="E310" s="1233"/>
      <c r="F310" s="1234"/>
      <c r="G310" s="1251" t="str">
        <f>IF(基本情報入力シート!M128="","",基本情報入力シート!M128)</f>
        <v/>
      </c>
      <c r="H310" s="1251" t="str">
        <f>IF(基本情報入力シート!R128="","",基本情報入力シート!R128)</f>
        <v/>
      </c>
      <c r="I310" s="1251" t="str">
        <f>IF(基本情報入力シート!W128="","",基本情報入力シート!W128)</f>
        <v/>
      </c>
      <c r="J310" s="1414" t="str">
        <f>IF(基本情報入力シート!X128="","",基本情報入力シート!X128)</f>
        <v/>
      </c>
      <c r="K310" s="1251" t="str">
        <f>IF(基本情報入力シート!Y128="","",基本情報入力シート!Y128)</f>
        <v/>
      </c>
      <c r="L310" s="1427" t="str">
        <f>IF(基本情報入力シート!AB128="","",基本情報入力シート!AB128)</f>
        <v/>
      </c>
      <c r="M310" s="550" t="str">
        <f>IF('別紙様式2-2（４・５月分）'!P236="","",'別紙様式2-2（４・５月分）'!P236)</f>
        <v/>
      </c>
      <c r="N310" s="1391" t="str">
        <f>IF(SUM('別紙様式2-2（４・５月分）'!Q236:Q238)=0,"",SUM('別紙様式2-2（４・５月分）'!Q236:Q238))</f>
        <v/>
      </c>
      <c r="O310" s="1395" t="str">
        <f>IFERROR(VLOOKUP('別紙様式2-2（４・５月分）'!AQ236,【参考】数式用!$AR$5:$AS$22,2,FALSE),"")</f>
        <v/>
      </c>
      <c r="P310" s="1396"/>
      <c r="Q310" s="1397"/>
      <c r="R310" s="1531" t="str">
        <f>IFERROR(VLOOKUP(K310,【参考】数式用!$A$5:$AB$37,MATCH(O310,【参考】数式用!$B$4:$AB$4,0)+1,0),"")</f>
        <v/>
      </c>
      <c r="S310" s="1403" t="s">
        <v>2102</v>
      </c>
      <c r="T310" s="1527" t="str">
        <f>IF('別紙様式2-3（６月以降分）'!T310="","",'別紙様式2-3（６月以降分）'!T310)</f>
        <v/>
      </c>
      <c r="U310" s="1529" t="str">
        <f>IFERROR(VLOOKUP(K310,【参考】数式用!$A$5:$AB$37,MATCH(T310,【参考】数式用!$B$4:$AB$4,0)+1,0),"")</f>
        <v/>
      </c>
      <c r="V310" s="1409" t="s">
        <v>15</v>
      </c>
      <c r="W310" s="1525">
        <f>'別紙様式2-3（６月以降分）'!W310</f>
        <v>6</v>
      </c>
      <c r="X310" s="1349" t="s">
        <v>10</v>
      </c>
      <c r="Y310" s="1525">
        <f>'別紙様式2-3（６月以降分）'!Y310</f>
        <v>6</v>
      </c>
      <c r="Z310" s="1349" t="s">
        <v>38</v>
      </c>
      <c r="AA310" s="1525">
        <f>'別紙様式2-3（６月以降分）'!AA310</f>
        <v>7</v>
      </c>
      <c r="AB310" s="1349" t="s">
        <v>10</v>
      </c>
      <c r="AC310" s="1525">
        <f>'別紙様式2-3（６月以降分）'!AC310</f>
        <v>3</v>
      </c>
      <c r="AD310" s="1349" t="s">
        <v>2020</v>
      </c>
      <c r="AE310" s="1349" t="s">
        <v>20</v>
      </c>
      <c r="AF310" s="1349">
        <f>IF(W310&gt;=1,(AA310*12+AC310)-(W310*12+Y310)+1,"")</f>
        <v>10</v>
      </c>
      <c r="AG310" s="1351" t="s">
        <v>33</v>
      </c>
      <c r="AH310" s="1517" t="str">
        <f>'別紙様式2-3（６月以降分）'!AH310</f>
        <v/>
      </c>
      <c r="AI310" s="1519" t="str">
        <f>'別紙様式2-3（６月以降分）'!AI310</f>
        <v/>
      </c>
      <c r="AJ310" s="1521">
        <f>'別紙様式2-3（６月以降分）'!AJ310</f>
        <v>0</v>
      </c>
      <c r="AK310" s="1523" t="str">
        <f>IF('別紙様式2-3（６月以降分）'!AK310="","",'別紙様式2-3（６月以降分）'!AK310)</f>
        <v/>
      </c>
      <c r="AL310" s="1512">
        <f>'別紙様式2-3（６月以降分）'!AL310</f>
        <v>0</v>
      </c>
      <c r="AM310" s="1514" t="str">
        <f>IF('別紙様式2-3（６月以降分）'!AM310="","",'別紙様式2-3（６月以降分）'!AM310)</f>
        <v/>
      </c>
      <c r="AN310" s="1333" t="str">
        <f>IF('別紙様式2-3（６月以降分）'!AN310="","",'別紙様式2-3（６月以降分）'!AN310)</f>
        <v/>
      </c>
      <c r="AO310" s="1331" t="str">
        <f>IF('別紙様式2-3（６月以降分）'!AO310="","",'別紙様式2-3（６月以降分）'!AO310)</f>
        <v/>
      </c>
      <c r="AP310" s="1333" t="str">
        <f>IF('別紙様式2-3（６月以降分）'!AP310="","",'別紙様式2-3（６月以降分）'!AP310)</f>
        <v/>
      </c>
      <c r="AQ310" s="1481" t="str">
        <f>IF('別紙様式2-3（６月以降分）'!AQ310="","",'別紙様式2-3（６月以降分）'!AQ310)</f>
        <v/>
      </c>
      <c r="AR310" s="1484" t="str">
        <f>IF('別紙様式2-3（６月以降分）'!AR310="","",'別紙様式2-3（６月以降分）'!AR310)</f>
        <v/>
      </c>
      <c r="AS310" s="570" t="str">
        <f t="shared" ref="AS310" si="511">IF(AU312="","",IF(U312&lt;U310,"！加算の要件上は問題ありませんが、令和６年度当初の新加算の加算率と比較して、移行後の加算率が下がる計画になっています。",""))</f>
        <v/>
      </c>
      <c r="AT310" s="577"/>
      <c r="AU310" s="1301"/>
      <c r="AV310" s="555" t="str">
        <f>IF('別紙様式2-2（４・５月分）'!N236="","",'別紙様式2-2（４・５月分）'!N236)</f>
        <v/>
      </c>
      <c r="AW310" s="1305" t="str">
        <f>IF(SUM('別紙様式2-2（４・５月分）'!O236:O238)=0,"",SUM('別紙様式2-2（４・５月分）'!O236:O238))</f>
        <v/>
      </c>
      <c r="AX310" s="1473" t="str">
        <f>IFERROR(VLOOKUP(K310,【参考】数式用!$AH$2:$AI$34,2,FALSE),"")</f>
        <v/>
      </c>
      <c r="AY310" s="493"/>
      <c r="BD310" s="340"/>
      <c r="BE310" s="1303" t="str">
        <f>G310</f>
        <v/>
      </c>
      <c r="BF310" s="1303"/>
      <c r="BG310" s="1303"/>
    </row>
    <row r="311" spans="1:59" ht="15" customHeight="1">
      <c r="A311" s="1267"/>
      <c r="B311" s="1235"/>
      <c r="C311" s="1236"/>
      <c r="D311" s="1236"/>
      <c r="E311" s="1236"/>
      <c r="F311" s="1237"/>
      <c r="G311" s="1252"/>
      <c r="H311" s="1252"/>
      <c r="I311" s="1252"/>
      <c r="J311" s="1415"/>
      <c r="K311" s="1252"/>
      <c r="L311" s="1421"/>
      <c r="M311" s="1371" t="str">
        <f>IF('別紙様式2-2（４・５月分）'!P237="","",'別紙様式2-2（４・５月分）'!P237)</f>
        <v/>
      </c>
      <c r="N311" s="1392"/>
      <c r="O311" s="1398"/>
      <c r="P311" s="1399"/>
      <c r="Q311" s="1400"/>
      <c r="R311" s="1532"/>
      <c r="S311" s="1404"/>
      <c r="T311" s="1528"/>
      <c r="U311" s="1530"/>
      <c r="V311" s="1410"/>
      <c r="W311" s="1526"/>
      <c r="X311" s="1350"/>
      <c r="Y311" s="1526"/>
      <c r="Z311" s="1350"/>
      <c r="AA311" s="1526"/>
      <c r="AB311" s="1350"/>
      <c r="AC311" s="1526"/>
      <c r="AD311" s="1350"/>
      <c r="AE311" s="1350"/>
      <c r="AF311" s="1350"/>
      <c r="AG311" s="1352"/>
      <c r="AH311" s="1518"/>
      <c r="AI311" s="1520"/>
      <c r="AJ311" s="1522"/>
      <c r="AK311" s="1524"/>
      <c r="AL311" s="1513"/>
      <c r="AM311" s="1515"/>
      <c r="AN311" s="1334"/>
      <c r="AO311" s="1516"/>
      <c r="AP311" s="1334"/>
      <c r="AQ311" s="1482"/>
      <c r="AR311" s="1485"/>
      <c r="AS311" s="1483" t="str">
        <f t="shared" ref="AS311" si="512">IF(AU312="","",IF(OR(AA312="",AA312&lt;&gt;7,AC312="",AC312&lt;&gt;3),"！算定期間の終わりが令和７年３月になっていません。年度内の廃止予定等がなければ、算定対象月を令和７年３月にしてください。",""))</f>
        <v/>
      </c>
      <c r="AT311" s="577"/>
      <c r="AU311" s="1303"/>
      <c r="AV311" s="1304" t="str">
        <f>IF('別紙様式2-2（４・５月分）'!N237="","",'別紙様式2-2（４・５月分）'!N237)</f>
        <v/>
      </c>
      <c r="AW311" s="1305"/>
      <c r="AX311" s="1474"/>
      <c r="AY311" s="430"/>
      <c r="BD311" s="340"/>
      <c r="BE311" s="1303" t="str">
        <f>G310</f>
        <v/>
      </c>
      <c r="BF311" s="1303"/>
      <c r="BG311" s="1303"/>
    </row>
    <row r="312" spans="1:59" ht="15" customHeight="1">
      <c r="A312" s="1295"/>
      <c r="B312" s="1235"/>
      <c r="C312" s="1236"/>
      <c r="D312" s="1236"/>
      <c r="E312" s="1236"/>
      <c r="F312" s="1237"/>
      <c r="G312" s="1252"/>
      <c r="H312" s="1252"/>
      <c r="I312" s="1252"/>
      <c r="J312" s="1415"/>
      <c r="K312" s="1252"/>
      <c r="L312" s="1421"/>
      <c r="M312" s="1372"/>
      <c r="N312" s="1393"/>
      <c r="O312" s="1373" t="s">
        <v>2025</v>
      </c>
      <c r="P312" s="1425" t="str">
        <f>IFERROR(VLOOKUP('別紙様式2-2（４・５月分）'!AQ236,【参考】数式用!$AR$5:$AT$22,3,FALSE),"")</f>
        <v/>
      </c>
      <c r="Q312" s="1377" t="s">
        <v>2036</v>
      </c>
      <c r="R312" s="1508" t="str">
        <f>IFERROR(VLOOKUP(K310,【参考】数式用!$A$5:$AB$37,MATCH(P312,【参考】数式用!$B$4:$AB$4,0)+1,0),"")</f>
        <v/>
      </c>
      <c r="S312" s="1381" t="s">
        <v>2109</v>
      </c>
      <c r="T312" s="1510"/>
      <c r="U312" s="1506" t="str">
        <f>IFERROR(VLOOKUP(K310,【参考】数式用!$A$5:$AB$37,MATCH(T312,【参考】数式用!$B$4:$AB$4,0)+1,0),"")</f>
        <v/>
      </c>
      <c r="V312" s="1387" t="s">
        <v>15</v>
      </c>
      <c r="W312" s="1504"/>
      <c r="X312" s="1363" t="s">
        <v>10</v>
      </c>
      <c r="Y312" s="1504"/>
      <c r="Z312" s="1363" t="s">
        <v>38</v>
      </c>
      <c r="AA312" s="1504"/>
      <c r="AB312" s="1363" t="s">
        <v>10</v>
      </c>
      <c r="AC312" s="1504"/>
      <c r="AD312" s="1363" t="s">
        <v>2020</v>
      </c>
      <c r="AE312" s="1363" t="s">
        <v>20</v>
      </c>
      <c r="AF312" s="1363" t="str">
        <f>IF(W312&gt;=1,(AA312*12+AC312)-(W312*12+Y312)+1,"")</f>
        <v/>
      </c>
      <c r="AG312" s="1359" t="s">
        <v>33</v>
      </c>
      <c r="AH312" s="1365" t="str">
        <f t="shared" ref="AH312" si="513">IFERROR(ROUNDDOWN(ROUND(L310*U312,0),0)*AF312,"")</f>
        <v/>
      </c>
      <c r="AI312" s="1498" t="str">
        <f t="shared" ref="AI312" si="514">IFERROR(ROUNDDOWN(ROUND((L310*(U312-AW310)),0),0)*AF312,"")</f>
        <v/>
      </c>
      <c r="AJ312" s="1369" t="str">
        <f>IFERROR(ROUNDDOWN(ROUNDDOWN(ROUND(L310*VLOOKUP(K310,【参考】数式用!$A$5:$AB$27,MATCH("新加算Ⅳ",【参考】数式用!$B$4:$AB$4,0)+1,0),0),0)*AF312*0.5,0),"")</f>
        <v/>
      </c>
      <c r="AK312" s="1500"/>
      <c r="AL312" s="1502" t="str">
        <f>IFERROR(IF('別紙様式2-2（４・５月分）'!P312="ベア加算","", IF(OR(T312="新加算Ⅰ",T312="新加算Ⅱ",T312="新加算Ⅲ",T312="新加算Ⅳ"),ROUNDDOWN(ROUND(L310*VLOOKUP(K310,【参考】数式用!$A$5:$I$27,MATCH("ベア加算",【参考】数式用!$B$4:$I$4,0)+1,0),0),0)*AF312,"")),"")</f>
        <v/>
      </c>
      <c r="AM312" s="1494"/>
      <c r="AN312" s="1475"/>
      <c r="AO312" s="1496"/>
      <c r="AP312" s="1475"/>
      <c r="AQ312" s="1477"/>
      <c r="AR312" s="1479"/>
      <c r="AS312" s="1483"/>
      <c r="AT312" s="451"/>
      <c r="AU312" s="1303" t="str">
        <f>IF(AND(AA310&lt;&gt;7,AC310&lt;&gt;3),"V列に色付け","")</f>
        <v/>
      </c>
      <c r="AV312" s="1304"/>
      <c r="AW312" s="1305"/>
      <c r="AX312" s="574"/>
      <c r="AY312" s="1222" t="str">
        <f>IF(AL312&lt;&gt;"",IF(AM312="○","入力済","未入力"),"")</f>
        <v/>
      </c>
      <c r="AZ312" s="1222"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2" t="str">
        <f>IF(OR(T312="新加算Ⅴ（７）",T312="新加算Ⅴ（９）",T312="新加算Ⅴ（10）",T312="新加算Ⅴ（12）",T312="新加算Ⅴ（13）",T312="新加算Ⅴ（14）"),IF(OR(AO312="○",AO312="令和６年度中に満たす"),"入力済","未入力"),"")</f>
        <v/>
      </c>
      <c r="BB312" s="1222" t="str">
        <f>IF(OR(T312="新加算Ⅰ",T312="新加算Ⅱ",T312="新加算Ⅲ",T312="新加算Ⅴ（１）",T312="新加算Ⅴ（３）",T312="新加算Ⅴ（８）"),IF(OR(AP312="○",AP312="令和６年度中に満たす"),"入力済","未入力"),"")</f>
        <v/>
      </c>
      <c r="BC312" s="1472"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03" t="str">
        <f>IF(OR(T312="新加算Ⅰ",T312="新加算Ⅴ（１）",T312="新加算Ⅴ（２）",T312="新加算Ⅴ（５）",T312="新加算Ⅴ（７）",T312="新加算Ⅴ（10）"),IF(AR312="","未入力","入力済"),"")</f>
        <v/>
      </c>
      <c r="BE312" s="1303" t="str">
        <f>G310</f>
        <v/>
      </c>
      <c r="BF312" s="1303"/>
      <c r="BG312" s="1303"/>
    </row>
    <row r="313" spans="1:59" ht="30" customHeight="1" thickBot="1">
      <c r="A313" s="1268"/>
      <c r="B313" s="1411"/>
      <c r="C313" s="1412"/>
      <c r="D313" s="1412"/>
      <c r="E313" s="1412"/>
      <c r="F313" s="1413"/>
      <c r="G313" s="1253"/>
      <c r="H313" s="1253"/>
      <c r="I313" s="1253"/>
      <c r="J313" s="1416"/>
      <c r="K313" s="1253"/>
      <c r="L313" s="1422"/>
      <c r="M313" s="553" t="str">
        <f>IF('別紙様式2-2（４・５月分）'!P238="","",'別紙様式2-2（４・５月分）'!P238)</f>
        <v/>
      </c>
      <c r="N313" s="1394"/>
      <c r="O313" s="1374"/>
      <c r="P313" s="1426"/>
      <c r="Q313" s="1378"/>
      <c r="R313" s="1509"/>
      <c r="S313" s="1382"/>
      <c r="T313" s="1511"/>
      <c r="U313" s="1507"/>
      <c r="V313" s="1388"/>
      <c r="W313" s="1505"/>
      <c r="X313" s="1364"/>
      <c r="Y313" s="1505"/>
      <c r="Z313" s="1364"/>
      <c r="AA313" s="1505"/>
      <c r="AB313" s="1364"/>
      <c r="AC313" s="1505"/>
      <c r="AD313" s="1364"/>
      <c r="AE313" s="1364"/>
      <c r="AF313" s="1364"/>
      <c r="AG313" s="1360"/>
      <c r="AH313" s="1366"/>
      <c r="AI313" s="1499"/>
      <c r="AJ313" s="1370"/>
      <c r="AK313" s="1501"/>
      <c r="AL313" s="1503"/>
      <c r="AM313" s="1495"/>
      <c r="AN313" s="1476"/>
      <c r="AO313" s="1497"/>
      <c r="AP313" s="1476"/>
      <c r="AQ313" s="1478"/>
      <c r="AR313" s="1480"/>
      <c r="AS313" s="575"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1"/>
      <c r="AU313" s="1303"/>
      <c r="AV313" s="555" t="str">
        <f>IF('別紙様式2-2（４・５月分）'!N238="","",'別紙様式2-2（４・５月分）'!N238)</f>
        <v/>
      </c>
      <c r="AW313" s="1305"/>
      <c r="AX313" s="576"/>
      <c r="AY313" s="1222" t="str">
        <f>IF(OR(T313="新加算Ⅰ",T313="新加算Ⅱ",T313="新加算Ⅲ",T313="新加算Ⅳ",T313="新加算Ⅴ（１）",T313="新加算Ⅴ（２）",T313="新加算Ⅴ（３）",T313="新加算ⅠⅤ（４）",T313="新加算Ⅴ（５）",T313="新加算Ⅴ（６）",T313="新加算Ⅴ（８）",T313="新加算Ⅴ（11）"),IF(AI313="○","","未入力"),"")</f>
        <v/>
      </c>
      <c r="AZ313" s="1222" t="str">
        <f>IF(OR(U313="新加算Ⅰ",U313="新加算Ⅱ",U313="新加算Ⅲ",U313="新加算Ⅳ",U313="新加算Ⅴ（１）",U313="新加算Ⅴ（２）",U313="新加算Ⅴ（３）",U313="新加算ⅠⅤ（４）",U313="新加算Ⅴ（５）",U313="新加算Ⅴ（６）",U313="新加算Ⅴ（８）",U313="新加算Ⅴ（11）"),IF(AJ313="○","","未入力"),"")</f>
        <v/>
      </c>
      <c r="BA313" s="1222" t="str">
        <f>IF(OR(U313="新加算Ⅴ（７）",U313="新加算Ⅴ（９）",U313="新加算Ⅴ（10）",U313="新加算Ⅴ（12）",U313="新加算Ⅴ（13）",U313="新加算Ⅴ（14）"),IF(AK313="○","","未入力"),"")</f>
        <v/>
      </c>
      <c r="BB313" s="1222" t="str">
        <f>IF(OR(U313="新加算Ⅰ",U313="新加算Ⅱ",U313="新加算Ⅲ",U313="新加算Ⅴ（１）",U313="新加算Ⅴ（３）",U313="新加算Ⅴ（８）"),IF(AL313="○","","未入力"),"")</f>
        <v/>
      </c>
      <c r="BC313" s="1472"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03" t="str">
        <f>IF(AND(T313&lt;&gt;"（参考）令和７年度の移行予定",OR(U313="新加算Ⅰ",U313="新加算Ⅴ（１）",U313="新加算Ⅴ（２）",U313="新加算Ⅴ（５）",U313="新加算Ⅴ（７）",U313="新加算Ⅴ（10）")),IF(AN313="","未入力",IF(AN313="いずれも取得していない","要件を満たさない","")),"")</f>
        <v/>
      </c>
      <c r="BE313" s="1303" t="str">
        <f>G310</f>
        <v/>
      </c>
      <c r="BF313" s="1303"/>
      <c r="BG313" s="1303"/>
    </row>
    <row r="314" spans="1:59" ht="30" customHeight="1">
      <c r="A314" s="1293">
        <v>76</v>
      </c>
      <c r="B314" s="1235" t="str">
        <f>IF(基本情報入力シート!C129="","",基本情報入力シート!C129)</f>
        <v/>
      </c>
      <c r="C314" s="1236"/>
      <c r="D314" s="1236"/>
      <c r="E314" s="1236"/>
      <c r="F314" s="1237"/>
      <c r="G314" s="1252" t="str">
        <f>IF(基本情報入力シート!M129="","",基本情報入力シート!M129)</f>
        <v/>
      </c>
      <c r="H314" s="1252" t="str">
        <f>IF(基本情報入力シート!R129="","",基本情報入力シート!R129)</f>
        <v/>
      </c>
      <c r="I314" s="1252" t="str">
        <f>IF(基本情報入力シート!W129="","",基本情報入力シート!W129)</f>
        <v/>
      </c>
      <c r="J314" s="1415" t="str">
        <f>IF(基本情報入力シート!X129="","",基本情報入力シート!X129)</f>
        <v/>
      </c>
      <c r="K314" s="1252" t="str">
        <f>IF(基本情報入力シート!Y129="","",基本情報入力シート!Y129)</f>
        <v/>
      </c>
      <c r="L314" s="1421" t="str">
        <f>IF(基本情報入力シート!AB129="","",基本情報入力シート!AB129)</f>
        <v/>
      </c>
      <c r="M314" s="550" t="str">
        <f>IF('別紙様式2-2（４・５月分）'!P239="","",'別紙様式2-2（４・５月分）'!P239)</f>
        <v/>
      </c>
      <c r="N314" s="1391" t="str">
        <f>IF(SUM('別紙様式2-2（４・５月分）'!Q239:Q241)=0,"",SUM('別紙様式2-2（４・５月分）'!Q239:Q241))</f>
        <v/>
      </c>
      <c r="O314" s="1395" t="str">
        <f>IFERROR(VLOOKUP('別紙様式2-2（４・５月分）'!AQ239,【参考】数式用!$AR$5:$AS$22,2,FALSE),"")</f>
        <v/>
      </c>
      <c r="P314" s="1396"/>
      <c r="Q314" s="1397"/>
      <c r="R314" s="1531" t="str">
        <f>IFERROR(VLOOKUP(K314,【参考】数式用!$A$5:$AB$37,MATCH(O314,【参考】数式用!$B$4:$AB$4,0)+1,0),"")</f>
        <v/>
      </c>
      <c r="S314" s="1403" t="s">
        <v>2102</v>
      </c>
      <c r="T314" s="1527" t="str">
        <f>IF('別紙様式2-3（６月以降分）'!T314="","",'別紙様式2-3（６月以降分）'!T314)</f>
        <v/>
      </c>
      <c r="U314" s="1529" t="str">
        <f>IFERROR(VLOOKUP(K314,【参考】数式用!$A$5:$AB$37,MATCH(T314,【参考】数式用!$B$4:$AB$4,0)+1,0),"")</f>
        <v/>
      </c>
      <c r="V314" s="1409" t="s">
        <v>15</v>
      </c>
      <c r="W314" s="1525">
        <f>'別紙様式2-3（６月以降分）'!W314</f>
        <v>6</v>
      </c>
      <c r="X314" s="1349" t="s">
        <v>10</v>
      </c>
      <c r="Y314" s="1525">
        <f>'別紙様式2-3（６月以降分）'!Y314</f>
        <v>6</v>
      </c>
      <c r="Z314" s="1349" t="s">
        <v>38</v>
      </c>
      <c r="AA314" s="1525">
        <f>'別紙様式2-3（６月以降分）'!AA314</f>
        <v>7</v>
      </c>
      <c r="AB314" s="1349" t="s">
        <v>10</v>
      </c>
      <c r="AC314" s="1525">
        <f>'別紙様式2-3（６月以降分）'!AC314</f>
        <v>3</v>
      </c>
      <c r="AD314" s="1349" t="s">
        <v>2020</v>
      </c>
      <c r="AE314" s="1349" t="s">
        <v>20</v>
      </c>
      <c r="AF314" s="1349">
        <f>IF(W314&gt;=1,(AA314*12+AC314)-(W314*12+Y314)+1,"")</f>
        <v>10</v>
      </c>
      <c r="AG314" s="1351" t="s">
        <v>33</v>
      </c>
      <c r="AH314" s="1517" t="str">
        <f>'別紙様式2-3（６月以降分）'!AH314</f>
        <v/>
      </c>
      <c r="AI314" s="1519" t="str">
        <f>'別紙様式2-3（６月以降分）'!AI314</f>
        <v/>
      </c>
      <c r="AJ314" s="1521">
        <f>'別紙様式2-3（６月以降分）'!AJ314</f>
        <v>0</v>
      </c>
      <c r="AK314" s="1523" t="str">
        <f>IF('別紙様式2-3（６月以降分）'!AK314="","",'別紙様式2-3（６月以降分）'!AK314)</f>
        <v/>
      </c>
      <c r="AL314" s="1512">
        <f>'別紙様式2-3（６月以降分）'!AL314</f>
        <v>0</v>
      </c>
      <c r="AM314" s="1514" t="str">
        <f>IF('別紙様式2-3（６月以降分）'!AM314="","",'別紙様式2-3（６月以降分）'!AM314)</f>
        <v/>
      </c>
      <c r="AN314" s="1333" t="str">
        <f>IF('別紙様式2-3（６月以降分）'!AN314="","",'別紙様式2-3（６月以降分）'!AN314)</f>
        <v/>
      </c>
      <c r="AO314" s="1331" t="str">
        <f>IF('別紙様式2-3（６月以降分）'!AO314="","",'別紙様式2-3（６月以降分）'!AO314)</f>
        <v/>
      </c>
      <c r="AP314" s="1333" t="str">
        <f>IF('別紙様式2-3（６月以降分）'!AP314="","",'別紙様式2-3（６月以降分）'!AP314)</f>
        <v/>
      </c>
      <c r="AQ314" s="1481" t="str">
        <f>IF('別紙様式2-3（６月以降分）'!AQ314="","",'別紙様式2-3（６月以降分）'!AQ314)</f>
        <v/>
      </c>
      <c r="AR314" s="1484" t="str">
        <f>IF('別紙様式2-3（６月以降分）'!AR314="","",'別紙様式2-3（６月以降分）'!AR314)</f>
        <v/>
      </c>
      <c r="AS314" s="570" t="str">
        <f t="shared" ref="AS314" si="518">IF(AU316="","",IF(U316&lt;U314,"！加算の要件上は問題ありませんが、令和６年度当初の新加算の加算率と比較して、移行後の加算率が下がる計画になっています。",""))</f>
        <v/>
      </c>
      <c r="AT314" s="577"/>
      <c r="AU314" s="1301"/>
      <c r="AV314" s="555" t="str">
        <f>IF('別紙様式2-2（４・５月分）'!N239="","",'別紙様式2-2（４・５月分）'!N239)</f>
        <v/>
      </c>
      <c r="AW314" s="1305" t="str">
        <f>IF(SUM('別紙様式2-2（４・５月分）'!O239:O241)=0,"",SUM('別紙様式2-2（４・５月分）'!O239:O241))</f>
        <v/>
      </c>
      <c r="AX314" s="1473" t="str">
        <f>IFERROR(VLOOKUP(K314,【参考】数式用!$AH$2:$AI$34,2,FALSE),"")</f>
        <v/>
      </c>
      <c r="AY314" s="493"/>
      <c r="BD314" s="340"/>
      <c r="BE314" s="1303" t="str">
        <f>G314</f>
        <v/>
      </c>
      <c r="BF314" s="1303"/>
      <c r="BG314" s="1303"/>
    </row>
    <row r="315" spans="1:59" ht="15" customHeight="1">
      <c r="A315" s="1267"/>
      <c r="B315" s="1235"/>
      <c r="C315" s="1236"/>
      <c r="D315" s="1236"/>
      <c r="E315" s="1236"/>
      <c r="F315" s="1237"/>
      <c r="G315" s="1252"/>
      <c r="H315" s="1252"/>
      <c r="I315" s="1252"/>
      <c r="J315" s="1415"/>
      <c r="K315" s="1252"/>
      <c r="L315" s="1421"/>
      <c r="M315" s="1371" t="str">
        <f>IF('別紙様式2-2（４・５月分）'!P240="","",'別紙様式2-2（４・５月分）'!P240)</f>
        <v/>
      </c>
      <c r="N315" s="1392"/>
      <c r="O315" s="1398"/>
      <c r="P315" s="1399"/>
      <c r="Q315" s="1400"/>
      <c r="R315" s="1532"/>
      <c r="S315" s="1404"/>
      <c r="T315" s="1528"/>
      <c r="U315" s="1530"/>
      <c r="V315" s="1410"/>
      <c r="W315" s="1526"/>
      <c r="X315" s="1350"/>
      <c r="Y315" s="1526"/>
      <c r="Z315" s="1350"/>
      <c r="AA315" s="1526"/>
      <c r="AB315" s="1350"/>
      <c r="AC315" s="1526"/>
      <c r="AD315" s="1350"/>
      <c r="AE315" s="1350"/>
      <c r="AF315" s="1350"/>
      <c r="AG315" s="1352"/>
      <c r="AH315" s="1518"/>
      <c r="AI315" s="1520"/>
      <c r="AJ315" s="1522"/>
      <c r="AK315" s="1524"/>
      <c r="AL315" s="1513"/>
      <c r="AM315" s="1515"/>
      <c r="AN315" s="1334"/>
      <c r="AO315" s="1516"/>
      <c r="AP315" s="1334"/>
      <c r="AQ315" s="1482"/>
      <c r="AR315" s="1485"/>
      <c r="AS315" s="1483" t="str">
        <f t="shared" ref="AS315" si="519">IF(AU316="","",IF(OR(AA316="",AA316&lt;&gt;7,AC316="",AC316&lt;&gt;3),"！算定期間の終わりが令和７年３月になっていません。年度内の廃止予定等がなければ、算定対象月を令和７年３月にしてください。",""))</f>
        <v/>
      </c>
      <c r="AT315" s="577"/>
      <c r="AU315" s="1303"/>
      <c r="AV315" s="1304" t="str">
        <f>IF('別紙様式2-2（４・５月分）'!N240="","",'別紙様式2-2（４・５月分）'!N240)</f>
        <v/>
      </c>
      <c r="AW315" s="1305"/>
      <c r="AX315" s="1474"/>
      <c r="AY315" s="430"/>
      <c r="BD315" s="340"/>
      <c r="BE315" s="1303" t="str">
        <f>G314</f>
        <v/>
      </c>
      <c r="BF315" s="1303"/>
      <c r="BG315" s="1303"/>
    </row>
    <row r="316" spans="1:59" ht="15" customHeight="1">
      <c r="A316" s="1295"/>
      <c r="B316" s="1235"/>
      <c r="C316" s="1236"/>
      <c r="D316" s="1236"/>
      <c r="E316" s="1236"/>
      <c r="F316" s="1237"/>
      <c r="G316" s="1252"/>
      <c r="H316" s="1252"/>
      <c r="I316" s="1252"/>
      <c r="J316" s="1415"/>
      <c r="K316" s="1252"/>
      <c r="L316" s="1421"/>
      <c r="M316" s="1372"/>
      <c r="N316" s="1393"/>
      <c r="O316" s="1373" t="s">
        <v>2025</v>
      </c>
      <c r="P316" s="1425" t="str">
        <f>IFERROR(VLOOKUP('別紙様式2-2（４・５月分）'!AQ239,【参考】数式用!$AR$5:$AT$22,3,FALSE),"")</f>
        <v/>
      </c>
      <c r="Q316" s="1377" t="s">
        <v>2036</v>
      </c>
      <c r="R316" s="1508" t="str">
        <f>IFERROR(VLOOKUP(K314,【参考】数式用!$A$5:$AB$37,MATCH(P316,【参考】数式用!$B$4:$AB$4,0)+1,0),"")</f>
        <v/>
      </c>
      <c r="S316" s="1381" t="s">
        <v>2109</v>
      </c>
      <c r="T316" s="1510"/>
      <c r="U316" s="1506" t="str">
        <f>IFERROR(VLOOKUP(K314,【参考】数式用!$A$5:$AB$37,MATCH(T316,【参考】数式用!$B$4:$AB$4,0)+1,0),"")</f>
        <v/>
      </c>
      <c r="V316" s="1387" t="s">
        <v>15</v>
      </c>
      <c r="W316" s="1504"/>
      <c r="X316" s="1363" t="s">
        <v>10</v>
      </c>
      <c r="Y316" s="1504"/>
      <c r="Z316" s="1363" t="s">
        <v>38</v>
      </c>
      <c r="AA316" s="1504"/>
      <c r="AB316" s="1363" t="s">
        <v>10</v>
      </c>
      <c r="AC316" s="1504"/>
      <c r="AD316" s="1363" t="s">
        <v>2020</v>
      </c>
      <c r="AE316" s="1363" t="s">
        <v>20</v>
      </c>
      <c r="AF316" s="1363" t="str">
        <f>IF(W316&gt;=1,(AA316*12+AC316)-(W316*12+Y316)+1,"")</f>
        <v/>
      </c>
      <c r="AG316" s="1359" t="s">
        <v>33</v>
      </c>
      <c r="AH316" s="1365" t="str">
        <f t="shared" ref="AH316" si="520">IFERROR(ROUNDDOWN(ROUND(L314*U316,0),0)*AF316,"")</f>
        <v/>
      </c>
      <c r="AI316" s="1498" t="str">
        <f t="shared" ref="AI316" si="521">IFERROR(ROUNDDOWN(ROUND((L314*(U316-AW314)),0),0)*AF316,"")</f>
        <v/>
      </c>
      <c r="AJ316" s="1369" t="str">
        <f>IFERROR(ROUNDDOWN(ROUNDDOWN(ROUND(L314*VLOOKUP(K314,【参考】数式用!$A$5:$AB$27,MATCH("新加算Ⅳ",【参考】数式用!$B$4:$AB$4,0)+1,0),0),0)*AF316*0.5,0),"")</f>
        <v/>
      </c>
      <c r="AK316" s="1500"/>
      <c r="AL316" s="1502" t="str">
        <f>IFERROR(IF('別紙様式2-2（４・５月分）'!P316="ベア加算","", IF(OR(T316="新加算Ⅰ",T316="新加算Ⅱ",T316="新加算Ⅲ",T316="新加算Ⅳ"),ROUNDDOWN(ROUND(L314*VLOOKUP(K314,【参考】数式用!$A$5:$I$27,MATCH("ベア加算",【参考】数式用!$B$4:$I$4,0)+1,0),0),0)*AF316,"")),"")</f>
        <v/>
      </c>
      <c r="AM316" s="1494"/>
      <c r="AN316" s="1475"/>
      <c r="AO316" s="1496"/>
      <c r="AP316" s="1475"/>
      <c r="AQ316" s="1477"/>
      <c r="AR316" s="1479"/>
      <c r="AS316" s="1483"/>
      <c r="AT316" s="451"/>
      <c r="AU316" s="1303" t="str">
        <f>IF(AND(AA314&lt;&gt;7,AC314&lt;&gt;3),"V列に色付け","")</f>
        <v/>
      </c>
      <c r="AV316" s="1304"/>
      <c r="AW316" s="1305"/>
      <c r="AX316" s="574"/>
      <c r="AY316" s="1222" t="str">
        <f>IF(AL316&lt;&gt;"",IF(AM316="○","入力済","未入力"),"")</f>
        <v/>
      </c>
      <c r="AZ316" s="1222"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2" t="str">
        <f>IF(OR(T316="新加算Ⅴ（７）",T316="新加算Ⅴ（９）",T316="新加算Ⅴ（10）",T316="新加算Ⅴ（12）",T316="新加算Ⅴ（13）",T316="新加算Ⅴ（14）"),IF(OR(AO316="○",AO316="令和６年度中に満たす"),"入力済","未入力"),"")</f>
        <v/>
      </c>
      <c r="BB316" s="1222" t="str">
        <f>IF(OR(T316="新加算Ⅰ",T316="新加算Ⅱ",T316="新加算Ⅲ",T316="新加算Ⅴ（１）",T316="新加算Ⅴ（３）",T316="新加算Ⅴ（８）"),IF(OR(AP316="○",AP316="令和６年度中に満たす"),"入力済","未入力"),"")</f>
        <v/>
      </c>
      <c r="BC316" s="1472"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03" t="str">
        <f>IF(OR(T316="新加算Ⅰ",T316="新加算Ⅴ（１）",T316="新加算Ⅴ（２）",T316="新加算Ⅴ（５）",T316="新加算Ⅴ（７）",T316="新加算Ⅴ（10）"),IF(AR316="","未入力","入力済"),"")</f>
        <v/>
      </c>
      <c r="BE316" s="1303" t="str">
        <f>G314</f>
        <v/>
      </c>
      <c r="BF316" s="1303"/>
      <c r="BG316" s="1303"/>
    </row>
    <row r="317" spans="1:59" ht="30" customHeight="1" thickBot="1">
      <c r="A317" s="1268"/>
      <c r="B317" s="1411"/>
      <c r="C317" s="1412"/>
      <c r="D317" s="1412"/>
      <c r="E317" s="1412"/>
      <c r="F317" s="1413"/>
      <c r="G317" s="1253"/>
      <c r="H317" s="1253"/>
      <c r="I317" s="1253"/>
      <c r="J317" s="1416"/>
      <c r="K317" s="1253"/>
      <c r="L317" s="1422"/>
      <c r="M317" s="553" t="str">
        <f>IF('別紙様式2-2（４・５月分）'!P241="","",'別紙様式2-2（４・５月分）'!P241)</f>
        <v/>
      </c>
      <c r="N317" s="1394"/>
      <c r="O317" s="1374"/>
      <c r="P317" s="1426"/>
      <c r="Q317" s="1378"/>
      <c r="R317" s="1509"/>
      <c r="S317" s="1382"/>
      <c r="T317" s="1511"/>
      <c r="U317" s="1507"/>
      <c r="V317" s="1388"/>
      <c r="W317" s="1505"/>
      <c r="X317" s="1364"/>
      <c r="Y317" s="1505"/>
      <c r="Z317" s="1364"/>
      <c r="AA317" s="1505"/>
      <c r="AB317" s="1364"/>
      <c r="AC317" s="1505"/>
      <c r="AD317" s="1364"/>
      <c r="AE317" s="1364"/>
      <c r="AF317" s="1364"/>
      <c r="AG317" s="1360"/>
      <c r="AH317" s="1366"/>
      <c r="AI317" s="1499"/>
      <c r="AJ317" s="1370"/>
      <c r="AK317" s="1501"/>
      <c r="AL317" s="1503"/>
      <c r="AM317" s="1495"/>
      <c r="AN317" s="1476"/>
      <c r="AO317" s="1497"/>
      <c r="AP317" s="1476"/>
      <c r="AQ317" s="1478"/>
      <c r="AR317" s="1480"/>
      <c r="AS317" s="575"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1"/>
      <c r="AU317" s="1303"/>
      <c r="AV317" s="555" t="str">
        <f>IF('別紙様式2-2（４・５月分）'!N241="","",'別紙様式2-2（４・５月分）'!N241)</f>
        <v/>
      </c>
      <c r="AW317" s="1305"/>
      <c r="AX317" s="576"/>
      <c r="AY317" s="1222" t="str">
        <f>IF(OR(T317="新加算Ⅰ",T317="新加算Ⅱ",T317="新加算Ⅲ",T317="新加算Ⅳ",T317="新加算Ⅴ（１）",T317="新加算Ⅴ（２）",T317="新加算Ⅴ（３）",T317="新加算ⅠⅤ（４）",T317="新加算Ⅴ（５）",T317="新加算Ⅴ（６）",T317="新加算Ⅴ（８）",T317="新加算Ⅴ（11）"),IF(AI317="○","","未入力"),"")</f>
        <v/>
      </c>
      <c r="AZ317" s="1222" t="str">
        <f>IF(OR(U317="新加算Ⅰ",U317="新加算Ⅱ",U317="新加算Ⅲ",U317="新加算Ⅳ",U317="新加算Ⅴ（１）",U317="新加算Ⅴ（２）",U317="新加算Ⅴ（３）",U317="新加算ⅠⅤ（４）",U317="新加算Ⅴ（５）",U317="新加算Ⅴ（６）",U317="新加算Ⅴ（８）",U317="新加算Ⅴ（11）"),IF(AJ317="○","","未入力"),"")</f>
        <v/>
      </c>
      <c r="BA317" s="1222" t="str">
        <f>IF(OR(U317="新加算Ⅴ（７）",U317="新加算Ⅴ（９）",U317="新加算Ⅴ（10）",U317="新加算Ⅴ（12）",U317="新加算Ⅴ（13）",U317="新加算Ⅴ（14）"),IF(AK317="○","","未入力"),"")</f>
        <v/>
      </c>
      <c r="BB317" s="1222" t="str">
        <f>IF(OR(U317="新加算Ⅰ",U317="新加算Ⅱ",U317="新加算Ⅲ",U317="新加算Ⅴ（１）",U317="新加算Ⅴ（３）",U317="新加算Ⅴ（８）"),IF(AL317="○","","未入力"),"")</f>
        <v/>
      </c>
      <c r="BC317" s="1472"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03" t="str">
        <f>IF(AND(T317&lt;&gt;"（参考）令和７年度の移行予定",OR(U317="新加算Ⅰ",U317="新加算Ⅴ（１）",U317="新加算Ⅴ（２）",U317="新加算Ⅴ（５）",U317="新加算Ⅴ（７）",U317="新加算Ⅴ（10）")),IF(AN317="","未入力",IF(AN317="いずれも取得していない","要件を満たさない","")),"")</f>
        <v/>
      </c>
      <c r="BE317" s="1303" t="str">
        <f>G314</f>
        <v/>
      </c>
      <c r="BF317" s="1303"/>
      <c r="BG317" s="1303"/>
    </row>
    <row r="318" spans="1:59" ht="30" customHeight="1">
      <c r="A318" s="1266">
        <v>77</v>
      </c>
      <c r="B318" s="1232" t="str">
        <f>IF(基本情報入力シート!C130="","",基本情報入力シート!C130)</f>
        <v/>
      </c>
      <c r="C318" s="1233"/>
      <c r="D318" s="1233"/>
      <c r="E318" s="1233"/>
      <c r="F318" s="1234"/>
      <c r="G318" s="1251" t="str">
        <f>IF(基本情報入力シート!M130="","",基本情報入力シート!M130)</f>
        <v/>
      </c>
      <c r="H318" s="1251" t="str">
        <f>IF(基本情報入力シート!R130="","",基本情報入力シート!R130)</f>
        <v/>
      </c>
      <c r="I318" s="1251" t="str">
        <f>IF(基本情報入力シート!W130="","",基本情報入力シート!W130)</f>
        <v/>
      </c>
      <c r="J318" s="1414" t="str">
        <f>IF(基本情報入力シート!X130="","",基本情報入力シート!X130)</f>
        <v/>
      </c>
      <c r="K318" s="1251" t="str">
        <f>IF(基本情報入力シート!Y130="","",基本情報入力シート!Y130)</f>
        <v/>
      </c>
      <c r="L318" s="1427" t="str">
        <f>IF(基本情報入力シート!AB130="","",基本情報入力シート!AB130)</f>
        <v/>
      </c>
      <c r="M318" s="550" t="str">
        <f>IF('別紙様式2-2（４・５月分）'!P242="","",'別紙様式2-2（４・５月分）'!P242)</f>
        <v/>
      </c>
      <c r="N318" s="1391" t="str">
        <f>IF(SUM('別紙様式2-2（４・５月分）'!Q242:Q244)=0,"",SUM('別紙様式2-2（４・５月分）'!Q242:Q244))</f>
        <v/>
      </c>
      <c r="O318" s="1395" t="str">
        <f>IFERROR(VLOOKUP('別紙様式2-2（４・５月分）'!AQ242,【参考】数式用!$AR$5:$AS$22,2,FALSE),"")</f>
        <v/>
      </c>
      <c r="P318" s="1396"/>
      <c r="Q318" s="1397"/>
      <c r="R318" s="1531" t="str">
        <f>IFERROR(VLOOKUP(K318,【参考】数式用!$A$5:$AB$37,MATCH(O318,【参考】数式用!$B$4:$AB$4,0)+1,0),"")</f>
        <v/>
      </c>
      <c r="S318" s="1403" t="s">
        <v>2102</v>
      </c>
      <c r="T318" s="1527" t="str">
        <f>IF('別紙様式2-3（６月以降分）'!T318="","",'別紙様式2-3（６月以降分）'!T318)</f>
        <v/>
      </c>
      <c r="U318" s="1529" t="str">
        <f>IFERROR(VLOOKUP(K318,【参考】数式用!$A$5:$AB$37,MATCH(T318,【参考】数式用!$B$4:$AB$4,0)+1,0),"")</f>
        <v/>
      </c>
      <c r="V318" s="1409" t="s">
        <v>15</v>
      </c>
      <c r="W318" s="1525">
        <f>'別紙様式2-3（６月以降分）'!W318</f>
        <v>6</v>
      </c>
      <c r="X318" s="1349" t="s">
        <v>10</v>
      </c>
      <c r="Y318" s="1525">
        <f>'別紙様式2-3（６月以降分）'!Y318</f>
        <v>6</v>
      </c>
      <c r="Z318" s="1349" t="s">
        <v>38</v>
      </c>
      <c r="AA318" s="1525">
        <f>'別紙様式2-3（６月以降分）'!AA318</f>
        <v>7</v>
      </c>
      <c r="AB318" s="1349" t="s">
        <v>10</v>
      </c>
      <c r="AC318" s="1525">
        <f>'別紙様式2-3（６月以降分）'!AC318</f>
        <v>3</v>
      </c>
      <c r="AD318" s="1349" t="s">
        <v>2020</v>
      </c>
      <c r="AE318" s="1349" t="s">
        <v>20</v>
      </c>
      <c r="AF318" s="1349">
        <f>IF(W318&gt;=1,(AA318*12+AC318)-(W318*12+Y318)+1,"")</f>
        <v>10</v>
      </c>
      <c r="AG318" s="1351" t="s">
        <v>33</v>
      </c>
      <c r="AH318" s="1517" t="str">
        <f>'別紙様式2-3（６月以降分）'!AH318</f>
        <v/>
      </c>
      <c r="AI318" s="1519" t="str">
        <f>'別紙様式2-3（６月以降分）'!AI318</f>
        <v/>
      </c>
      <c r="AJ318" s="1521">
        <f>'別紙様式2-3（６月以降分）'!AJ318</f>
        <v>0</v>
      </c>
      <c r="AK318" s="1523" t="str">
        <f>IF('別紙様式2-3（６月以降分）'!AK318="","",'別紙様式2-3（６月以降分）'!AK318)</f>
        <v/>
      </c>
      <c r="AL318" s="1512">
        <f>'別紙様式2-3（６月以降分）'!AL318</f>
        <v>0</v>
      </c>
      <c r="AM318" s="1514" t="str">
        <f>IF('別紙様式2-3（６月以降分）'!AM318="","",'別紙様式2-3（６月以降分）'!AM318)</f>
        <v/>
      </c>
      <c r="AN318" s="1333" t="str">
        <f>IF('別紙様式2-3（６月以降分）'!AN318="","",'別紙様式2-3（６月以降分）'!AN318)</f>
        <v/>
      </c>
      <c r="AO318" s="1331" t="str">
        <f>IF('別紙様式2-3（６月以降分）'!AO318="","",'別紙様式2-3（６月以降分）'!AO318)</f>
        <v/>
      </c>
      <c r="AP318" s="1333" t="str">
        <f>IF('別紙様式2-3（６月以降分）'!AP318="","",'別紙様式2-3（６月以降分）'!AP318)</f>
        <v/>
      </c>
      <c r="AQ318" s="1481" t="str">
        <f>IF('別紙様式2-3（６月以降分）'!AQ318="","",'別紙様式2-3（６月以降分）'!AQ318)</f>
        <v/>
      </c>
      <c r="AR318" s="1484" t="str">
        <f>IF('別紙様式2-3（６月以降分）'!AR318="","",'別紙様式2-3（６月以降分）'!AR318)</f>
        <v/>
      </c>
      <c r="AS318" s="570" t="str">
        <f t="shared" ref="AS318" si="525">IF(AU320="","",IF(U320&lt;U318,"！加算の要件上は問題ありませんが、令和６年度当初の新加算の加算率と比較して、移行後の加算率が下がる計画になっています。",""))</f>
        <v/>
      </c>
      <c r="AT318" s="577"/>
      <c r="AU318" s="1301"/>
      <c r="AV318" s="555" t="str">
        <f>IF('別紙様式2-2（４・５月分）'!N242="","",'別紙様式2-2（４・５月分）'!N242)</f>
        <v/>
      </c>
      <c r="AW318" s="1305" t="str">
        <f>IF(SUM('別紙様式2-2（４・５月分）'!O242:O244)=0,"",SUM('別紙様式2-2（４・５月分）'!O242:O244))</f>
        <v/>
      </c>
      <c r="AX318" s="1473" t="str">
        <f>IFERROR(VLOOKUP(K318,【参考】数式用!$AH$2:$AI$34,2,FALSE),"")</f>
        <v/>
      </c>
      <c r="AY318" s="493"/>
      <c r="BD318" s="340"/>
      <c r="BE318" s="1303" t="str">
        <f>G318</f>
        <v/>
      </c>
      <c r="BF318" s="1303"/>
      <c r="BG318" s="1303"/>
    </row>
    <row r="319" spans="1:59" ht="15" customHeight="1">
      <c r="A319" s="1267"/>
      <c r="B319" s="1235"/>
      <c r="C319" s="1236"/>
      <c r="D319" s="1236"/>
      <c r="E319" s="1236"/>
      <c r="F319" s="1237"/>
      <c r="G319" s="1252"/>
      <c r="H319" s="1252"/>
      <c r="I319" s="1252"/>
      <c r="J319" s="1415"/>
      <c r="K319" s="1252"/>
      <c r="L319" s="1421"/>
      <c r="M319" s="1371" t="str">
        <f>IF('別紙様式2-2（４・５月分）'!P243="","",'別紙様式2-2（４・５月分）'!P243)</f>
        <v/>
      </c>
      <c r="N319" s="1392"/>
      <c r="O319" s="1398"/>
      <c r="P319" s="1399"/>
      <c r="Q319" s="1400"/>
      <c r="R319" s="1532"/>
      <c r="S319" s="1404"/>
      <c r="T319" s="1528"/>
      <c r="U319" s="1530"/>
      <c r="V319" s="1410"/>
      <c r="W319" s="1526"/>
      <c r="X319" s="1350"/>
      <c r="Y319" s="1526"/>
      <c r="Z319" s="1350"/>
      <c r="AA319" s="1526"/>
      <c r="AB319" s="1350"/>
      <c r="AC319" s="1526"/>
      <c r="AD319" s="1350"/>
      <c r="AE319" s="1350"/>
      <c r="AF319" s="1350"/>
      <c r="AG319" s="1352"/>
      <c r="AH319" s="1518"/>
      <c r="AI319" s="1520"/>
      <c r="AJ319" s="1522"/>
      <c r="AK319" s="1524"/>
      <c r="AL319" s="1513"/>
      <c r="AM319" s="1515"/>
      <c r="AN319" s="1334"/>
      <c r="AO319" s="1516"/>
      <c r="AP319" s="1334"/>
      <c r="AQ319" s="1482"/>
      <c r="AR319" s="1485"/>
      <c r="AS319" s="1483" t="str">
        <f t="shared" ref="AS319" si="526">IF(AU320="","",IF(OR(AA320="",AA320&lt;&gt;7,AC320="",AC320&lt;&gt;3),"！算定期間の終わりが令和７年３月になっていません。年度内の廃止予定等がなければ、算定対象月を令和７年３月にしてください。",""))</f>
        <v/>
      </c>
      <c r="AT319" s="577"/>
      <c r="AU319" s="1303"/>
      <c r="AV319" s="1304" t="str">
        <f>IF('別紙様式2-2（４・５月分）'!N243="","",'別紙様式2-2（４・５月分）'!N243)</f>
        <v/>
      </c>
      <c r="AW319" s="1305"/>
      <c r="AX319" s="1474"/>
      <c r="AY319" s="430"/>
      <c r="BD319" s="340"/>
      <c r="BE319" s="1303" t="str">
        <f>G318</f>
        <v/>
      </c>
      <c r="BF319" s="1303"/>
      <c r="BG319" s="1303"/>
    </row>
    <row r="320" spans="1:59" ht="15" customHeight="1">
      <c r="A320" s="1295"/>
      <c r="B320" s="1235"/>
      <c r="C320" s="1236"/>
      <c r="D320" s="1236"/>
      <c r="E320" s="1236"/>
      <c r="F320" s="1237"/>
      <c r="G320" s="1252"/>
      <c r="H320" s="1252"/>
      <c r="I320" s="1252"/>
      <c r="J320" s="1415"/>
      <c r="K320" s="1252"/>
      <c r="L320" s="1421"/>
      <c r="M320" s="1372"/>
      <c r="N320" s="1393"/>
      <c r="O320" s="1373" t="s">
        <v>2025</v>
      </c>
      <c r="P320" s="1425" t="str">
        <f>IFERROR(VLOOKUP('別紙様式2-2（４・５月分）'!AQ242,【参考】数式用!$AR$5:$AT$22,3,FALSE),"")</f>
        <v/>
      </c>
      <c r="Q320" s="1377" t="s">
        <v>2036</v>
      </c>
      <c r="R320" s="1508" t="str">
        <f>IFERROR(VLOOKUP(K318,【参考】数式用!$A$5:$AB$37,MATCH(P320,【参考】数式用!$B$4:$AB$4,0)+1,0),"")</f>
        <v/>
      </c>
      <c r="S320" s="1381" t="s">
        <v>2109</v>
      </c>
      <c r="T320" s="1510"/>
      <c r="U320" s="1506" t="str">
        <f>IFERROR(VLOOKUP(K318,【参考】数式用!$A$5:$AB$37,MATCH(T320,【参考】数式用!$B$4:$AB$4,0)+1,0),"")</f>
        <v/>
      </c>
      <c r="V320" s="1387" t="s">
        <v>15</v>
      </c>
      <c r="W320" s="1504"/>
      <c r="X320" s="1363" t="s">
        <v>10</v>
      </c>
      <c r="Y320" s="1504"/>
      <c r="Z320" s="1363" t="s">
        <v>38</v>
      </c>
      <c r="AA320" s="1504"/>
      <c r="AB320" s="1363" t="s">
        <v>10</v>
      </c>
      <c r="AC320" s="1504"/>
      <c r="AD320" s="1363" t="s">
        <v>2020</v>
      </c>
      <c r="AE320" s="1363" t="s">
        <v>20</v>
      </c>
      <c r="AF320" s="1363" t="str">
        <f>IF(W320&gt;=1,(AA320*12+AC320)-(W320*12+Y320)+1,"")</f>
        <v/>
      </c>
      <c r="AG320" s="1359" t="s">
        <v>33</v>
      </c>
      <c r="AH320" s="1365" t="str">
        <f t="shared" ref="AH320" si="527">IFERROR(ROUNDDOWN(ROUND(L318*U320,0),0)*AF320,"")</f>
        <v/>
      </c>
      <c r="AI320" s="1498" t="str">
        <f t="shared" ref="AI320" si="528">IFERROR(ROUNDDOWN(ROUND((L318*(U320-AW318)),0),0)*AF320,"")</f>
        <v/>
      </c>
      <c r="AJ320" s="1369" t="str">
        <f>IFERROR(ROUNDDOWN(ROUNDDOWN(ROUND(L318*VLOOKUP(K318,【参考】数式用!$A$5:$AB$27,MATCH("新加算Ⅳ",【参考】数式用!$B$4:$AB$4,0)+1,0),0),0)*AF320*0.5,0),"")</f>
        <v/>
      </c>
      <c r="AK320" s="1500"/>
      <c r="AL320" s="1502" t="str">
        <f>IFERROR(IF('別紙様式2-2（４・５月分）'!P320="ベア加算","", IF(OR(T320="新加算Ⅰ",T320="新加算Ⅱ",T320="新加算Ⅲ",T320="新加算Ⅳ"),ROUNDDOWN(ROUND(L318*VLOOKUP(K318,【参考】数式用!$A$5:$I$27,MATCH("ベア加算",【参考】数式用!$B$4:$I$4,0)+1,0),0),0)*AF320,"")),"")</f>
        <v/>
      </c>
      <c r="AM320" s="1494"/>
      <c r="AN320" s="1475"/>
      <c r="AO320" s="1496"/>
      <c r="AP320" s="1475"/>
      <c r="AQ320" s="1477"/>
      <c r="AR320" s="1479"/>
      <c r="AS320" s="1483"/>
      <c r="AT320" s="451"/>
      <c r="AU320" s="1303" t="str">
        <f>IF(AND(AA318&lt;&gt;7,AC318&lt;&gt;3),"V列に色付け","")</f>
        <v/>
      </c>
      <c r="AV320" s="1304"/>
      <c r="AW320" s="1305"/>
      <c r="AX320" s="574"/>
      <c r="AY320" s="1222" t="str">
        <f>IF(AL320&lt;&gt;"",IF(AM320="○","入力済","未入力"),"")</f>
        <v/>
      </c>
      <c r="AZ320" s="1222"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2" t="str">
        <f>IF(OR(T320="新加算Ⅴ（７）",T320="新加算Ⅴ（９）",T320="新加算Ⅴ（10）",T320="新加算Ⅴ（12）",T320="新加算Ⅴ（13）",T320="新加算Ⅴ（14）"),IF(OR(AO320="○",AO320="令和６年度中に満たす"),"入力済","未入力"),"")</f>
        <v/>
      </c>
      <c r="BB320" s="1222" t="str">
        <f>IF(OR(T320="新加算Ⅰ",T320="新加算Ⅱ",T320="新加算Ⅲ",T320="新加算Ⅴ（１）",T320="新加算Ⅴ（３）",T320="新加算Ⅴ（８）"),IF(OR(AP320="○",AP320="令和６年度中に満たす"),"入力済","未入力"),"")</f>
        <v/>
      </c>
      <c r="BC320" s="1472"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03" t="str">
        <f>IF(OR(T320="新加算Ⅰ",T320="新加算Ⅴ（１）",T320="新加算Ⅴ（２）",T320="新加算Ⅴ（５）",T320="新加算Ⅴ（７）",T320="新加算Ⅴ（10）"),IF(AR320="","未入力","入力済"),"")</f>
        <v/>
      </c>
      <c r="BE320" s="1303" t="str">
        <f>G318</f>
        <v/>
      </c>
      <c r="BF320" s="1303"/>
      <c r="BG320" s="1303"/>
    </row>
    <row r="321" spans="1:59" ht="30" customHeight="1" thickBot="1">
      <c r="A321" s="1268"/>
      <c r="B321" s="1411"/>
      <c r="C321" s="1412"/>
      <c r="D321" s="1412"/>
      <c r="E321" s="1412"/>
      <c r="F321" s="1413"/>
      <c r="G321" s="1253"/>
      <c r="H321" s="1253"/>
      <c r="I321" s="1253"/>
      <c r="J321" s="1416"/>
      <c r="K321" s="1253"/>
      <c r="L321" s="1422"/>
      <c r="M321" s="553" t="str">
        <f>IF('別紙様式2-2（４・５月分）'!P244="","",'別紙様式2-2（４・５月分）'!P244)</f>
        <v/>
      </c>
      <c r="N321" s="1394"/>
      <c r="O321" s="1374"/>
      <c r="P321" s="1426"/>
      <c r="Q321" s="1378"/>
      <c r="R321" s="1509"/>
      <c r="S321" s="1382"/>
      <c r="T321" s="1511"/>
      <c r="U321" s="1507"/>
      <c r="V321" s="1388"/>
      <c r="W321" s="1505"/>
      <c r="X321" s="1364"/>
      <c r="Y321" s="1505"/>
      <c r="Z321" s="1364"/>
      <c r="AA321" s="1505"/>
      <c r="AB321" s="1364"/>
      <c r="AC321" s="1505"/>
      <c r="AD321" s="1364"/>
      <c r="AE321" s="1364"/>
      <c r="AF321" s="1364"/>
      <c r="AG321" s="1360"/>
      <c r="AH321" s="1366"/>
      <c r="AI321" s="1499"/>
      <c r="AJ321" s="1370"/>
      <c r="AK321" s="1501"/>
      <c r="AL321" s="1503"/>
      <c r="AM321" s="1495"/>
      <c r="AN321" s="1476"/>
      <c r="AO321" s="1497"/>
      <c r="AP321" s="1476"/>
      <c r="AQ321" s="1478"/>
      <c r="AR321" s="1480"/>
      <c r="AS321" s="575"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1"/>
      <c r="AU321" s="1303"/>
      <c r="AV321" s="555" t="str">
        <f>IF('別紙様式2-2（４・５月分）'!N244="","",'別紙様式2-2（４・５月分）'!N244)</f>
        <v/>
      </c>
      <c r="AW321" s="1305"/>
      <c r="AX321" s="576"/>
      <c r="AY321" s="1222" t="str">
        <f>IF(OR(T321="新加算Ⅰ",T321="新加算Ⅱ",T321="新加算Ⅲ",T321="新加算Ⅳ",T321="新加算Ⅴ（１）",T321="新加算Ⅴ（２）",T321="新加算Ⅴ（３）",T321="新加算ⅠⅤ（４）",T321="新加算Ⅴ（５）",T321="新加算Ⅴ（６）",T321="新加算Ⅴ（８）",T321="新加算Ⅴ（11）"),IF(AI321="○","","未入力"),"")</f>
        <v/>
      </c>
      <c r="AZ321" s="1222" t="str">
        <f>IF(OR(U321="新加算Ⅰ",U321="新加算Ⅱ",U321="新加算Ⅲ",U321="新加算Ⅳ",U321="新加算Ⅴ（１）",U321="新加算Ⅴ（２）",U321="新加算Ⅴ（３）",U321="新加算ⅠⅤ（４）",U321="新加算Ⅴ（５）",U321="新加算Ⅴ（６）",U321="新加算Ⅴ（８）",U321="新加算Ⅴ（11）"),IF(AJ321="○","","未入力"),"")</f>
        <v/>
      </c>
      <c r="BA321" s="1222" t="str">
        <f>IF(OR(U321="新加算Ⅴ（７）",U321="新加算Ⅴ（９）",U321="新加算Ⅴ（10）",U321="新加算Ⅴ（12）",U321="新加算Ⅴ（13）",U321="新加算Ⅴ（14）"),IF(AK321="○","","未入力"),"")</f>
        <v/>
      </c>
      <c r="BB321" s="1222" t="str">
        <f>IF(OR(U321="新加算Ⅰ",U321="新加算Ⅱ",U321="新加算Ⅲ",U321="新加算Ⅴ（１）",U321="新加算Ⅴ（３）",U321="新加算Ⅴ（８）"),IF(AL321="○","","未入力"),"")</f>
        <v/>
      </c>
      <c r="BC321" s="1472"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03" t="str">
        <f>IF(AND(T321&lt;&gt;"（参考）令和７年度の移行予定",OR(U321="新加算Ⅰ",U321="新加算Ⅴ（１）",U321="新加算Ⅴ（２）",U321="新加算Ⅴ（５）",U321="新加算Ⅴ（７）",U321="新加算Ⅴ（10）")),IF(AN321="","未入力",IF(AN321="いずれも取得していない","要件を満たさない","")),"")</f>
        <v/>
      </c>
      <c r="BE321" s="1303" t="str">
        <f>G318</f>
        <v/>
      </c>
      <c r="BF321" s="1303"/>
      <c r="BG321" s="1303"/>
    </row>
    <row r="322" spans="1:59" ht="30" customHeight="1">
      <c r="A322" s="1293">
        <v>78</v>
      </c>
      <c r="B322" s="1235" t="str">
        <f>IF(基本情報入力シート!C131="","",基本情報入力シート!C131)</f>
        <v/>
      </c>
      <c r="C322" s="1236"/>
      <c r="D322" s="1236"/>
      <c r="E322" s="1236"/>
      <c r="F322" s="1237"/>
      <c r="G322" s="1252" t="str">
        <f>IF(基本情報入力シート!M131="","",基本情報入力シート!M131)</f>
        <v/>
      </c>
      <c r="H322" s="1252" t="str">
        <f>IF(基本情報入力シート!R131="","",基本情報入力シート!R131)</f>
        <v/>
      </c>
      <c r="I322" s="1252" t="str">
        <f>IF(基本情報入力シート!W131="","",基本情報入力シート!W131)</f>
        <v/>
      </c>
      <c r="J322" s="1415" t="str">
        <f>IF(基本情報入力シート!X131="","",基本情報入力シート!X131)</f>
        <v/>
      </c>
      <c r="K322" s="1252" t="str">
        <f>IF(基本情報入力シート!Y131="","",基本情報入力シート!Y131)</f>
        <v/>
      </c>
      <c r="L322" s="1421" t="str">
        <f>IF(基本情報入力シート!AB131="","",基本情報入力シート!AB131)</f>
        <v/>
      </c>
      <c r="M322" s="550" t="str">
        <f>IF('別紙様式2-2（４・５月分）'!P245="","",'別紙様式2-2（４・５月分）'!P245)</f>
        <v/>
      </c>
      <c r="N322" s="1391" t="str">
        <f>IF(SUM('別紙様式2-2（４・５月分）'!Q245:Q247)=0,"",SUM('別紙様式2-2（４・５月分）'!Q245:Q247))</f>
        <v/>
      </c>
      <c r="O322" s="1395" t="str">
        <f>IFERROR(VLOOKUP('別紙様式2-2（４・５月分）'!AQ245,【参考】数式用!$AR$5:$AS$22,2,FALSE),"")</f>
        <v/>
      </c>
      <c r="P322" s="1396"/>
      <c r="Q322" s="1397"/>
      <c r="R322" s="1531" t="str">
        <f>IFERROR(VLOOKUP(K322,【参考】数式用!$A$5:$AB$37,MATCH(O322,【参考】数式用!$B$4:$AB$4,0)+1,0),"")</f>
        <v/>
      </c>
      <c r="S322" s="1403" t="s">
        <v>2102</v>
      </c>
      <c r="T322" s="1527" t="str">
        <f>IF('別紙様式2-3（６月以降分）'!T322="","",'別紙様式2-3（６月以降分）'!T322)</f>
        <v/>
      </c>
      <c r="U322" s="1529" t="str">
        <f>IFERROR(VLOOKUP(K322,【参考】数式用!$A$5:$AB$37,MATCH(T322,【参考】数式用!$B$4:$AB$4,0)+1,0),"")</f>
        <v/>
      </c>
      <c r="V322" s="1409" t="s">
        <v>15</v>
      </c>
      <c r="W322" s="1525">
        <f>'別紙様式2-3（６月以降分）'!W322</f>
        <v>6</v>
      </c>
      <c r="X322" s="1349" t="s">
        <v>10</v>
      </c>
      <c r="Y322" s="1525">
        <f>'別紙様式2-3（６月以降分）'!Y322</f>
        <v>6</v>
      </c>
      <c r="Z322" s="1349" t="s">
        <v>38</v>
      </c>
      <c r="AA322" s="1525">
        <f>'別紙様式2-3（６月以降分）'!AA322</f>
        <v>7</v>
      </c>
      <c r="AB322" s="1349" t="s">
        <v>10</v>
      </c>
      <c r="AC322" s="1525">
        <f>'別紙様式2-3（６月以降分）'!AC322</f>
        <v>3</v>
      </c>
      <c r="AD322" s="1349" t="s">
        <v>2020</v>
      </c>
      <c r="AE322" s="1349" t="s">
        <v>20</v>
      </c>
      <c r="AF322" s="1349">
        <f>IF(W322&gt;=1,(AA322*12+AC322)-(W322*12+Y322)+1,"")</f>
        <v>10</v>
      </c>
      <c r="AG322" s="1351" t="s">
        <v>33</v>
      </c>
      <c r="AH322" s="1517" t="str">
        <f>'別紙様式2-3（６月以降分）'!AH322</f>
        <v/>
      </c>
      <c r="AI322" s="1519" t="str">
        <f>'別紙様式2-3（６月以降分）'!AI322</f>
        <v/>
      </c>
      <c r="AJ322" s="1521">
        <f>'別紙様式2-3（６月以降分）'!AJ322</f>
        <v>0</v>
      </c>
      <c r="AK322" s="1523" t="str">
        <f>IF('別紙様式2-3（６月以降分）'!AK322="","",'別紙様式2-3（６月以降分）'!AK322)</f>
        <v/>
      </c>
      <c r="AL322" s="1512">
        <f>'別紙様式2-3（６月以降分）'!AL322</f>
        <v>0</v>
      </c>
      <c r="AM322" s="1514" t="str">
        <f>IF('別紙様式2-3（６月以降分）'!AM322="","",'別紙様式2-3（６月以降分）'!AM322)</f>
        <v/>
      </c>
      <c r="AN322" s="1333" t="str">
        <f>IF('別紙様式2-3（６月以降分）'!AN322="","",'別紙様式2-3（６月以降分）'!AN322)</f>
        <v/>
      </c>
      <c r="AO322" s="1331" t="str">
        <f>IF('別紙様式2-3（６月以降分）'!AO322="","",'別紙様式2-3（６月以降分）'!AO322)</f>
        <v/>
      </c>
      <c r="AP322" s="1333" t="str">
        <f>IF('別紙様式2-3（６月以降分）'!AP322="","",'別紙様式2-3（６月以降分）'!AP322)</f>
        <v/>
      </c>
      <c r="AQ322" s="1481" t="str">
        <f>IF('別紙様式2-3（６月以降分）'!AQ322="","",'別紙様式2-3（６月以降分）'!AQ322)</f>
        <v/>
      </c>
      <c r="AR322" s="1484" t="str">
        <f>IF('別紙様式2-3（６月以降分）'!AR322="","",'別紙様式2-3（６月以降分）'!AR322)</f>
        <v/>
      </c>
      <c r="AS322" s="570" t="str">
        <f t="shared" ref="AS322" si="532">IF(AU324="","",IF(U324&lt;U322,"！加算の要件上は問題ありませんが、令和６年度当初の新加算の加算率と比較して、移行後の加算率が下がる計画になっています。",""))</f>
        <v/>
      </c>
      <c r="AT322" s="577"/>
      <c r="AU322" s="1301"/>
      <c r="AV322" s="555" t="str">
        <f>IF('別紙様式2-2（４・５月分）'!N245="","",'別紙様式2-2（４・５月分）'!N245)</f>
        <v/>
      </c>
      <c r="AW322" s="1305" t="str">
        <f>IF(SUM('別紙様式2-2（４・５月分）'!O245:O247)=0,"",SUM('別紙様式2-2（４・５月分）'!O245:O247))</f>
        <v/>
      </c>
      <c r="AX322" s="1473" t="str">
        <f>IFERROR(VLOOKUP(K322,【参考】数式用!$AH$2:$AI$34,2,FALSE),"")</f>
        <v/>
      </c>
      <c r="AY322" s="493"/>
      <c r="BD322" s="340"/>
      <c r="BE322" s="1303" t="str">
        <f>G322</f>
        <v/>
      </c>
      <c r="BF322" s="1303"/>
      <c r="BG322" s="1303"/>
    </row>
    <row r="323" spans="1:59" ht="15" customHeight="1">
      <c r="A323" s="1267"/>
      <c r="B323" s="1235"/>
      <c r="C323" s="1236"/>
      <c r="D323" s="1236"/>
      <c r="E323" s="1236"/>
      <c r="F323" s="1237"/>
      <c r="G323" s="1252"/>
      <c r="H323" s="1252"/>
      <c r="I323" s="1252"/>
      <c r="J323" s="1415"/>
      <c r="K323" s="1252"/>
      <c r="L323" s="1421"/>
      <c r="M323" s="1371" t="str">
        <f>IF('別紙様式2-2（４・５月分）'!P246="","",'別紙様式2-2（４・５月分）'!P246)</f>
        <v/>
      </c>
      <c r="N323" s="1392"/>
      <c r="O323" s="1398"/>
      <c r="P323" s="1399"/>
      <c r="Q323" s="1400"/>
      <c r="R323" s="1532"/>
      <c r="S323" s="1404"/>
      <c r="T323" s="1528"/>
      <c r="U323" s="1530"/>
      <c r="V323" s="1410"/>
      <c r="W323" s="1526"/>
      <c r="X323" s="1350"/>
      <c r="Y323" s="1526"/>
      <c r="Z323" s="1350"/>
      <c r="AA323" s="1526"/>
      <c r="AB323" s="1350"/>
      <c r="AC323" s="1526"/>
      <c r="AD323" s="1350"/>
      <c r="AE323" s="1350"/>
      <c r="AF323" s="1350"/>
      <c r="AG323" s="1352"/>
      <c r="AH323" s="1518"/>
      <c r="AI323" s="1520"/>
      <c r="AJ323" s="1522"/>
      <c r="AK323" s="1524"/>
      <c r="AL323" s="1513"/>
      <c r="AM323" s="1515"/>
      <c r="AN323" s="1334"/>
      <c r="AO323" s="1516"/>
      <c r="AP323" s="1334"/>
      <c r="AQ323" s="1482"/>
      <c r="AR323" s="1485"/>
      <c r="AS323" s="1483" t="str">
        <f t="shared" ref="AS323" si="533">IF(AU324="","",IF(OR(AA324="",AA324&lt;&gt;7,AC324="",AC324&lt;&gt;3),"！算定期間の終わりが令和７年３月になっていません。年度内の廃止予定等がなければ、算定対象月を令和７年３月にしてください。",""))</f>
        <v/>
      </c>
      <c r="AT323" s="577"/>
      <c r="AU323" s="1303"/>
      <c r="AV323" s="1304" t="str">
        <f>IF('別紙様式2-2（４・５月分）'!N246="","",'別紙様式2-2（４・５月分）'!N246)</f>
        <v/>
      </c>
      <c r="AW323" s="1305"/>
      <c r="AX323" s="1474"/>
      <c r="AY323" s="430"/>
      <c r="BD323" s="340"/>
      <c r="BE323" s="1303" t="str">
        <f>G322</f>
        <v/>
      </c>
      <c r="BF323" s="1303"/>
      <c r="BG323" s="1303"/>
    </row>
    <row r="324" spans="1:59" ht="15" customHeight="1">
      <c r="A324" s="1295"/>
      <c r="B324" s="1235"/>
      <c r="C324" s="1236"/>
      <c r="D324" s="1236"/>
      <c r="E324" s="1236"/>
      <c r="F324" s="1237"/>
      <c r="G324" s="1252"/>
      <c r="H324" s="1252"/>
      <c r="I324" s="1252"/>
      <c r="J324" s="1415"/>
      <c r="K324" s="1252"/>
      <c r="L324" s="1421"/>
      <c r="M324" s="1372"/>
      <c r="N324" s="1393"/>
      <c r="O324" s="1373" t="s">
        <v>2025</v>
      </c>
      <c r="P324" s="1425" t="str">
        <f>IFERROR(VLOOKUP('別紙様式2-2（４・５月分）'!AQ245,【参考】数式用!$AR$5:$AT$22,3,FALSE),"")</f>
        <v/>
      </c>
      <c r="Q324" s="1377" t="s">
        <v>2036</v>
      </c>
      <c r="R324" s="1508" t="str">
        <f>IFERROR(VLOOKUP(K322,【参考】数式用!$A$5:$AB$37,MATCH(P324,【参考】数式用!$B$4:$AB$4,0)+1,0),"")</f>
        <v/>
      </c>
      <c r="S324" s="1381" t="s">
        <v>2109</v>
      </c>
      <c r="T324" s="1510"/>
      <c r="U324" s="1506" t="str">
        <f>IFERROR(VLOOKUP(K322,【参考】数式用!$A$5:$AB$37,MATCH(T324,【参考】数式用!$B$4:$AB$4,0)+1,0),"")</f>
        <v/>
      </c>
      <c r="V324" s="1387" t="s">
        <v>15</v>
      </c>
      <c r="W324" s="1504"/>
      <c r="X324" s="1363" t="s">
        <v>10</v>
      </c>
      <c r="Y324" s="1504"/>
      <c r="Z324" s="1363" t="s">
        <v>38</v>
      </c>
      <c r="AA324" s="1504"/>
      <c r="AB324" s="1363" t="s">
        <v>10</v>
      </c>
      <c r="AC324" s="1504"/>
      <c r="AD324" s="1363" t="s">
        <v>2020</v>
      </c>
      <c r="AE324" s="1363" t="s">
        <v>20</v>
      </c>
      <c r="AF324" s="1363" t="str">
        <f>IF(W324&gt;=1,(AA324*12+AC324)-(W324*12+Y324)+1,"")</f>
        <v/>
      </c>
      <c r="AG324" s="1359" t="s">
        <v>33</v>
      </c>
      <c r="AH324" s="1365" t="str">
        <f t="shared" ref="AH324" si="534">IFERROR(ROUNDDOWN(ROUND(L322*U324,0),0)*AF324,"")</f>
        <v/>
      </c>
      <c r="AI324" s="1498" t="str">
        <f t="shared" ref="AI324" si="535">IFERROR(ROUNDDOWN(ROUND((L322*(U324-AW322)),0),0)*AF324,"")</f>
        <v/>
      </c>
      <c r="AJ324" s="1369" t="str">
        <f>IFERROR(ROUNDDOWN(ROUNDDOWN(ROUND(L322*VLOOKUP(K322,【参考】数式用!$A$5:$AB$27,MATCH("新加算Ⅳ",【参考】数式用!$B$4:$AB$4,0)+1,0),0),0)*AF324*0.5,0),"")</f>
        <v/>
      </c>
      <c r="AK324" s="1500"/>
      <c r="AL324" s="1502" t="str">
        <f>IFERROR(IF('別紙様式2-2（４・５月分）'!P324="ベア加算","", IF(OR(T324="新加算Ⅰ",T324="新加算Ⅱ",T324="新加算Ⅲ",T324="新加算Ⅳ"),ROUNDDOWN(ROUND(L322*VLOOKUP(K322,【参考】数式用!$A$5:$I$27,MATCH("ベア加算",【参考】数式用!$B$4:$I$4,0)+1,0),0),0)*AF324,"")),"")</f>
        <v/>
      </c>
      <c r="AM324" s="1494"/>
      <c r="AN324" s="1475"/>
      <c r="AO324" s="1496"/>
      <c r="AP324" s="1475"/>
      <c r="AQ324" s="1477"/>
      <c r="AR324" s="1479"/>
      <c r="AS324" s="1483"/>
      <c r="AT324" s="451"/>
      <c r="AU324" s="1303" t="str">
        <f>IF(AND(AA322&lt;&gt;7,AC322&lt;&gt;3),"V列に色付け","")</f>
        <v/>
      </c>
      <c r="AV324" s="1304"/>
      <c r="AW324" s="1305"/>
      <c r="AX324" s="574"/>
      <c r="AY324" s="1222" t="str">
        <f>IF(AL324&lt;&gt;"",IF(AM324="○","入力済","未入力"),"")</f>
        <v/>
      </c>
      <c r="AZ324" s="1222"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2" t="str">
        <f>IF(OR(T324="新加算Ⅴ（７）",T324="新加算Ⅴ（９）",T324="新加算Ⅴ（10）",T324="新加算Ⅴ（12）",T324="新加算Ⅴ（13）",T324="新加算Ⅴ（14）"),IF(OR(AO324="○",AO324="令和６年度中に満たす"),"入力済","未入力"),"")</f>
        <v/>
      </c>
      <c r="BB324" s="1222" t="str">
        <f>IF(OR(T324="新加算Ⅰ",T324="新加算Ⅱ",T324="新加算Ⅲ",T324="新加算Ⅴ（１）",T324="新加算Ⅴ（３）",T324="新加算Ⅴ（８）"),IF(OR(AP324="○",AP324="令和６年度中に満たす"),"入力済","未入力"),"")</f>
        <v/>
      </c>
      <c r="BC324" s="1472"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03" t="str">
        <f>IF(OR(T324="新加算Ⅰ",T324="新加算Ⅴ（１）",T324="新加算Ⅴ（２）",T324="新加算Ⅴ（５）",T324="新加算Ⅴ（７）",T324="新加算Ⅴ（10）"),IF(AR324="","未入力","入力済"),"")</f>
        <v/>
      </c>
      <c r="BE324" s="1303" t="str">
        <f>G322</f>
        <v/>
      </c>
      <c r="BF324" s="1303"/>
      <c r="BG324" s="1303"/>
    </row>
    <row r="325" spans="1:59" ht="30" customHeight="1" thickBot="1">
      <c r="A325" s="1268"/>
      <c r="B325" s="1411"/>
      <c r="C325" s="1412"/>
      <c r="D325" s="1412"/>
      <c r="E325" s="1412"/>
      <c r="F325" s="1413"/>
      <c r="G325" s="1253"/>
      <c r="H325" s="1253"/>
      <c r="I325" s="1253"/>
      <c r="J325" s="1416"/>
      <c r="K325" s="1253"/>
      <c r="L325" s="1422"/>
      <c r="M325" s="553" t="str">
        <f>IF('別紙様式2-2（４・５月分）'!P247="","",'別紙様式2-2（４・５月分）'!P247)</f>
        <v/>
      </c>
      <c r="N325" s="1394"/>
      <c r="O325" s="1374"/>
      <c r="P325" s="1426"/>
      <c r="Q325" s="1378"/>
      <c r="R325" s="1509"/>
      <c r="S325" s="1382"/>
      <c r="T325" s="1511"/>
      <c r="U325" s="1507"/>
      <c r="V325" s="1388"/>
      <c r="W325" s="1505"/>
      <c r="X325" s="1364"/>
      <c r="Y325" s="1505"/>
      <c r="Z325" s="1364"/>
      <c r="AA325" s="1505"/>
      <c r="AB325" s="1364"/>
      <c r="AC325" s="1505"/>
      <c r="AD325" s="1364"/>
      <c r="AE325" s="1364"/>
      <c r="AF325" s="1364"/>
      <c r="AG325" s="1360"/>
      <c r="AH325" s="1366"/>
      <c r="AI325" s="1499"/>
      <c r="AJ325" s="1370"/>
      <c r="AK325" s="1501"/>
      <c r="AL325" s="1503"/>
      <c r="AM325" s="1495"/>
      <c r="AN325" s="1476"/>
      <c r="AO325" s="1497"/>
      <c r="AP325" s="1476"/>
      <c r="AQ325" s="1478"/>
      <c r="AR325" s="1480"/>
      <c r="AS325" s="575"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1"/>
      <c r="AU325" s="1303"/>
      <c r="AV325" s="555" t="str">
        <f>IF('別紙様式2-2（４・５月分）'!N247="","",'別紙様式2-2（４・５月分）'!N247)</f>
        <v/>
      </c>
      <c r="AW325" s="1305"/>
      <c r="AX325" s="576"/>
      <c r="AY325" s="1222" t="str">
        <f>IF(OR(T325="新加算Ⅰ",T325="新加算Ⅱ",T325="新加算Ⅲ",T325="新加算Ⅳ",T325="新加算Ⅴ（１）",T325="新加算Ⅴ（２）",T325="新加算Ⅴ（３）",T325="新加算ⅠⅤ（４）",T325="新加算Ⅴ（５）",T325="新加算Ⅴ（６）",T325="新加算Ⅴ（８）",T325="新加算Ⅴ（11）"),IF(AI325="○","","未入力"),"")</f>
        <v/>
      </c>
      <c r="AZ325" s="1222" t="str">
        <f>IF(OR(U325="新加算Ⅰ",U325="新加算Ⅱ",U325="新加算Ⅲ",U325="新加算Ⅳ",U325="新加算Ⅴ（１）",U325="新加算Ⅴ（２）",U325="新加算Ⅴ（３）",U325="新加算ⅠⅤ（４）",U325="新加算Ⅴ（５）",U325="新加算Ⅴ（６）",U325="新加算Ⅴ（８）",U325="新加算Ⅴ（11）"),IF(AJ325="○","","未入力"),"")</f>
        <v/>
      </c>
      <c r="BA325" s="1222" t="str">
        <f>IF(OR(U325="新加算Ⅴ（７）",U325="新加算Ⅴ（９）",U325="新加算Ⅴ（10）",U325="新加算Ⅴ（12）",U325="新加算Ⅴ（13）",U325="新加算Ⅴ（14）"),IF(AK325="○","","未入力"),"")</f>
        <v/>
      </c>
      <c r="BB325" s="1222" t="str">
        <f>IF(OR(U325="新加算Ⅰ",U325="新加算Ⅱ",U325="新加算Ⅲ",U325="新加算Ⅴ（１）",U325="新加算Ⅴ（３）",U325="新加算Ⅴ（８）"),IF(AL325="○","","未入力"),"")</f>
        <v/>
      </c>
      <c r="BC325" s="1472"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03" t="str">
        <f>IF(AND(T325&lt;&gt;"（参考）令和７年度の移行予定",OR(U325="新加算Ⅰ",U325="新加算Ⅴ（１）",U325="新加算Ⅴ（２）",U325="新加算Ⅴ（５）",U325="新加算Ⅴ（７）",U325="新加算Ⅴ（10）")),IF(AN325="","未入力",IF(AN325="いずれも取得していない","要件を満たさない","")),"")</f>
        <v/>
      </c>
      <c r="BE325" s="1303" t="str">
        <f>G322</f>
        <v/>
      </c>
      <c r="BF325" s="1303"/>
      <c r="BG325" s="1303"/>
    </row>
    <row r="326" spans="1:59" ht="30" customHeight="1">
      <c r="A326" s="1266">
        <v>79</v>
      </c>
      <c r="B326" s="1232" t="str">
        <f>IF(基本情報入力シート!C132="","",基本情報入力シート!C132)</f>
        <v/>
      </c>
      <c r="C326" s="1233"/>
      <c r="D326" s="1233"/>
      <c r="E326" s="1233"/>
      <c r="F326" s="1234"/>
      <c r="G326" s="1251" t="str">
        <f>IF(基本情報入力シート!M132="","",基本情報入力シート!M132)</f>
        <v/>
      </c>
      <c r="H326" s="1251" t="str">
        <f>IF(基本情報入力シート!R132="","",基本情報入力シート!R132)</f>
        <v/>
      </c>
      <c r="I326" s="1251" t="str">
        <f>IF(基本情報入力シート!W132="","",基本情報入力シート!W132)</f>
        <v/>
      </c>
      <c r="J326" s="1414" t="str">
        <f>IF(基本情報入力シート!X132="","",基本情報入力シート!X132)</f>
        <v/>
      </c>
      <c r="K326" s="1251" t="str">
        <f>IF(基本情報入力シート!Y132="","",基本情報入力シート!Y132)</f>
        <v/>
      </c>
      <c r="L326" s="1427" t="str">
        <f>IF(基本情報入力シート!AB132="","",基本情報入力シート!AB132)</f>
        <v/>
      </c>
      <c r="M326" s="550" t="str">
        <f>IF('別紙様式2-2（４・５月分）'!P248="","",'別紙様式2-2（４・５月分）'!P248)</f>
        <v/>
      </c>
      <c r="N326" s="1391" t="str">
        <f>IF(SUM('別紙様式2-2（４・５月分）'!Q248:Q250)=0,"",SUM('別紙様式2-2（４・５月分）'!Q248:Q250))</f>
        <v/>
      </c>
      <c r="O326" s="1395" t="str">
        <f>IFERROR(VLOOKUP('別紙様式2-2（４・５月分）'!AQ248,【参考】数式用!$AR$5:$AS$22,2,FALSE),"")</f>
        <v/>
      </c>
      <c r="P326" s="1396"/>
      <c r="Q326" s="1397"/>
      <c r="R326" s="1531" t="str">
        <f>IFERROR(VLOOKUP(K326,【参考】数式用!$A$5:$AB$37,MATCH(O326,【参考】数式用!$B$4:$AB$4,0)+1,0),"")</f>
        <v/>
      </c>
      <c r="S326" s="1403" t="s">
        <v>2102</v>
      </c>
      <c r="T326" s="1527" t="str">
        <f>IF('別紙様式2-3（６月以降分）'!T326="","",'別紙様式2-3（６月以降分）'!T326)</f>
        <v/>
      </c>
      <c r="U326" s="1529" t="str">
        <f>IFERROR(VLOOKUP(K326,【参考】数式用!$A$5:$AB$37,MATCH(T326,【参考】数式用!$B$4:$AB$4,0)+1,0),"")</f>
        <v/>
      </c>
      <c r="V326" s="1409" t="s">
        <v>15</v>
      </c>
      <c r="W326" s="1525">
        <f>'別紙様式2-3（６月以降分）'!W326</f>
        <v>6</v>
      </c>
      <c r="X326" s="1349" t="s">
        <v>10</v>
      </c>
      <c r="Y326" s="1525">
        <f>'別紙様式2-3（６月以降分）'!Y326</f>
        <v>6</v>
      </c>
      <c r="Z326" s="1349" t="s">
        <v>38</v>
      </c>
      <c r="AA326" s="1525">
        <f>'別紙様式2-3（６月以降分）'!AA326</f>
        <v>7</v>
      </c>
      <c r="AB326" s="1349" t="s">
        <v>10</v>
      </c>
      <c r="AC326" s="1525">
        <f>'別紙様式2-3（６月以降分）'!AC326</f>
        <v>3</v>
      </c>
      <c r="AD326" s="1349" t="s">
        <v>2020</v>
      </c>
      <c r="AE326" s="1349" t="s">
        <v>20</v>
      </c>
      <c r="AF326" s="1349">
        <f>IF(W326&gt;=1,(AA326*12+AC326)-(W326*12+Y326)+1,"")</f>
        <v>10</v>
      </c>
      <c r="AG326" s="1351" t="s">
        <v>33</v>
      </c>
      <c r="AH326" s="1517" t="str">
        <f>'別紙様式2-3（６月以降分）'!AH326</f>
        <v/>
      </c>
      <c r="AI326" s="1519" t="str">
        <f>'別紙様式2-3（６月以降分）'!AI326</f>
        <v/>
      </c>
      <c r="AJ326" s="1521">
        <f>'別紙様式2-3（６月以降分）'!AJ326</f>
        <v>0</v>
      </c>
      <c r="AK326" s="1523" t="str">
        <f>IF('別紙様式2-3（６月以降分）'!AK326="","",'別紙様式2-3（６月以降分）'!AK326)</f>
        <v/>
      </c>
      <c r="AL326" s="1512">
        <f>'別紙様式2-3（６月以降分）'!AL326</f>
        <v>0</v>
      </c>
      <c r="AM326" s="1514" t="str">
        <f>IF('別紙様式2-3（６月以降分）'!AM326="","",'別紙様式2-3（６月以降分）'!AM326)</f>
        <v/>
      </c>
      <c r="AN326" s="1333" t="str">
        <f>IF('別紙様式2-3（６月以降分）'!AN326="","",'別紙様式2-3（６月以降分）'!AN326)</f>
        <v/>
      </c>
      <c r="AO326" s="1331" t="str">
        <f>IF('別紙様式2-3（６月以降分）'!AO326="","",'別紙様式2-3（６月以降分）'!AO326)</f>
        <v/>
      </c>
      <c r="AP326" s="1333" t="str">
        <f>IF('別紙様式2-3（６月以降分）'!AP326="","",'別紙様式2-3（６月以降分）'!AP326)</f>
        <v/>
      </c>
      <c r="AQ326" s="1481" t="str">
        <f>IF('別紙様式2-3（６月以降分）'!AQ326="","",'別紙様式2-3（６月以降分）'!AQ326)</f>
        <v/>
      </c>
      <c r="AR326" s="1484" t="str">
        <f>IF('別紙様式2-3（６月以降分）'!AR326="","",'別紙様式2-3（６月以降分）'!AR326)</f>
        <v/>
      </c>
      <c r="AS326" s="570" t="str">
        <f t="shared" ref="AS326" si="539">IF(AU328="","",IF(U328&lt;U326,"！加算の要件上は問題ありませんが、令和６年度当初の新加算の加算率と比較して、移行後の加算率が下がる計画になっています。",""))</f>
        <v/>
      </c>
      <c r="AT326" s="577"/>
      <c r="AU326" s="1301"/>
      <c r="AV326" s="555" t="str">
        <f>IF('別紙様式2-2（４・５月分）'!N248="","",'別紙様式2-2（４・５月分）'!N248)</f>
        <v/>
      </c>
      <c r="AW326" s="1305" t="str">
        <f>IF(SUM('別紙様式2-2（４・５月分）'!O248:O250)=0,"",SUM('別紙様式2-2（４・５月分）'!O248:O250))</f>
        <v/>
      </c>
      <c r="AX326" s="1473" t="str">
        <f>IFERROR(VLOOKUP(K326,【参考】数式用!$AH$2:$AI$34,2,FALSE),"")</f>
        <v/>
      </c>
      <c r="AY326" s="493"/>
      <c r="BD326" s="340"/>
      <c r="BE326" s="1303" t="str">
        <f>G326</f>
        <v/>
      </c>
      <c r="BF326" s="1303"/>
      <c r="BG326" s="1303"/>
    </row>
    <row r="327" spans="1:59" ht="15" customHeight="1">
      <c r="A327" s="1267"/>
      <c r="B327" s="1235"/>
      <c r="C327" s="1236"/>
      <c r="D327" s="1236"/>
      <c r="E327" s="1236"/>
      <c r="F327" s="1237"/>
      <c r="G327" s="1252"/>
      <c r="H327" s="1252"/>
      <c r="I327" s="1252"/>
      <c r="J327" s="1415"/>
      <c r="K327" s="1252"/>
      <c r="L327" s="1421"/>
      <c r="M327" s="1371" t="str">
        <f>IF('別紙様式2-2（４・５月分）'!P249="","",'別紙様式2-2（４・５月分）'!P249)</f>
        <v/>
      </c>
      <c r="N327" s="1392"/>
      <c r="O327" s="1398"/>
      <c r="P327" s="1399"/>
      <c r="Q327" s="1400"/>
      <c r="R327" s="1532"/>
      <c r="S327" s="1404"/>
      <c r="T327" s="1528"/>
      <c r="U327" s="1530"/>
      <c r="V327" s="1410"/>
      <c r="W327" s="1526"/>
      <c r="X327" s="1350"/>
      <c r="Y327" s="1526"/>
      <c r="Z327" s="1350"/>
      <c r="AA327" s="1526"/>
      <c r="AB327" s="1350"/>
      <c r="AC327" s="1526"/>
      <c r="AD327" s="1350"/>
      <c r="AE327" s="1350"/>
      <c r="AF327" s="1350"/>
      <c r="AG327" s="1352"/>
      <c r="AH327" s="1518"/>
      <c r="AI327" s="1520"/>
      <c r="AJ327" s="1522"/>
      <c r="AK327" s="1524"/>
      <c r="AL327" s="1513"/>
      <c r="AM327" s="1515"/>
      <c r="AN327" s="1334"/>
      <c r="AO327" s="1516"/>
      <c r="AP327" s="1334"/>
      <c r="AQ327" s="1482"/>
      <c r="AR327" s="1485"/>
      <c r="AS327" s="1483" t="str">
        <f t="shared" ref="AS327" si="540">IF(AU328="","",IF(OR(AA328="",AA328&lt;&gt;7,AC328="",AC328&lt;&gt;3),"！算定期間の終わりが令和７年３月になっていません。年度内の廃止予定等がなければ、算定対象月を令和７年３月にしてください。",""))</f>
        <v/>
      </c>
      <c r="AT327" s="577"/>
      <c r="AU327" s="1303"/>
      <c r="AV327" s="1304" t="str">
        <f>IF('別紙様式2-2（４・５月分）'!N249="","",'別紙様式2-2（４・５月分）'!N249)</f>
        <v/>
      </c>
      <c r="AW327" s="1305"/>
      <c r="AX327" s="1474"/>
      <c r="AY327" s="430"/>
      <c r="BD327" s="340"/>
      <c r="BE327" s="1303" t="str">
        <f>G326</f>
        <v/>
      </c>
      <c r="BF327" s="1303"/>
      <c r="BG327" s="1303"/>
    </row>
    <row r="328" spans="1:59" ht="15" customHeight="1">
      <c r="A328" s="1295"/>
      <c r="B328" s="1235"/>
      <c r="C328" s="1236"/>
      <c r="D328" s="1236"/>
      <c r="E328" s="1236"/>
      <c r="F328" s="1237"/>
      <c r="G328" s="1252"/>
      <c r="H328" s="1252"/>
      <c r="I328" s="1252"/>
      <c r="J328" s="1415"/>
      <c r="K328" s="1252"/>
      <c r="L328" s="1421"/>
      <c r="M328" s="1372"/>
      <c r="N328" s="1393"/>
      <c r="O328" s="1373" t="s">
        <v>2025</v>
      </c>
      <c r="P328" s="1425" t="str">
        <f>IFERROR(VLOOKUP('別紙様式2-2（４・５月分）'!AQ248,【参考】数式用!$AR$5:$AT$22,3,FALSE),"")</f>
        <v/>
      </c>
      <c r="Q328" s="1377" t="s">
        <v>2036</v>
      </c>
      <c r="R328" s="1508" t="str">
        <f>IFERROR(VLOOKUP(K326,【参考】数式用!$A$5:$AB$37,MATCH(P328,【参考】数式用!$B$4:$AB$4,0)+1,0),"")</f>
        <v/>
      </c>
      <c r="S328" s="1381" t="s">
        <v>2109</v>
      </c>
      <c r="T328" s="1510"/>
      <c r="U328" s="1506" t="str">
        <f>IFERROR(VLOOKUP(K326,【参考】数式用!$A$5:$AB$37,MATCH(T328,【参考】数式用!$B$4:$AB$4,0)+1,0),"")</f>
        <v/>
      </c>
      <c r="V328" s="1387" t="s">
        <v>15</v>
      </c>
      <c r="W328" s="1504"/>
      <c r="X328" s="1363" t="s">
        <v>10</v>
      </c>
      <c r="Y328" s="1504"/>
      <c r="Z328" s="1363" t="s">
        <v>38</v>
      </c>
      <c r="AA328" s="1504"/>
      <c r="AB328" s="1363" t="s">
        <v>10</v>
      </c>
      <c r="AC328" s="1504"/>
      <c r="AD328" s="1363" t="s">
        <v>2020</v>
      </c>
      <c r="AE328" s="1363" t="s">
        <v>20</v>
      </c>
      <c r="AF328" s="1363" t="str">
        <f>IF(W328&gt;=1,(AA328*12+AC328)-(W328*12+Y328)+1,"")</f>
        <v/>
      </c>
      <c r="AG328" s="1359" t="s">
        <v>33</v>
      </c>
      <c r="AH328" s="1365" t="str">
        <f t="shared" ref="AH328" si="541">IFERROR(ROUNDDOWN(ROUND(L326*U328,0),0)*AF328,"")</f>
        <v/>
      </c>
      <c r="AI328" s="1498" t="str">
        <f t="shared" ref="AI328" si="542">IFERROR(ROUNDDOWN(ROUND((L326*(U328-AW326)),0),0)*AF328,"")</f>
        <v/>
      </c>
      <c r="AJ328" s="1369" t="str">
        <f>IFERROR(ROUNDDOWN(ROUNDDOWN(ROUND(L326*VLOOKUP(K326,【参考】数式用!$A$5:$AB$27,MATCH("新加算Ⅳ",【参考】数式用!$B$4:$AB$4,0)+1,0),0),0)*AF328*0.5,0),"")</f>
        <v/>
      </c>
      <c r="AK328" s="1500"/>
      <c r="AL328" s="1502" t="str">
        <f>IFERROR(IF('別紙様式2-2（４・５月分）'!P328="ベア加算","", IF(OR(T328="新加算Ⅰ",T328="新加算Ⅱ",T328="新加算Ⅲ",T328="新加算Ⅳ"),ROUNDDOWN(ROUND(L326*VLOOKUP(K326,【参考】数式用!$A$5:$I$27,MATCH("ベア加算",【参考】数式用!$B$4:$I$4,0)+1,0),0),0)*AF328,"")),"")</f>
        <v/>
      </c>
      <c r="AM328" s="1494"/>
      <c r="AN328" s="1475"/>
      <c r="AO328" s="1496"/>
      <c r="AP328" s="1475"/>
      <c r="AQ328" s="1477"/>
      <c r="AR328" s="1479"/>
      <c r="AS328" s="1483"/>
      <c r="AT328" s="451"/>
      <c r="AU328" s="1303" t="str">
        <f>IF(AND(AA326&lt;&gt;7,AC326&lt;&gt;3),"V列に色付け","")</f>
        <v/>
      </c>
      <c r="AV328" s="1304"/>
      <c r="AW328" s="1305"/>
      <c r="AX328" s="574"/>
      <c r="AY328" s="1222" t="str">
        <f>IF(AL328&lt;&gt;"",IF(AM328="○","入力済","未入力"),"")</f>
        <v/>
      </c>
      <c r="AZ328" s="1222"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2" t="str">
        <f>IF(OR(T328="新加算Ⅴ（７）",T328="新加算Ⅴ（９）",T328="新加算Ⅴ（10）",T328="新加算Ⅴ（12）",T328="新加算Ⅴ（13）",T328="新加算Ⅴ（14）"),IF(OR(AO328="○",AO328="令和６年度中に満たす"),"入力済","未入力"),"")</f>
        <v/>
      </c>
      <c r="BB328" s="1222" t="str">
        <f>IF(OR(T328="新加算Ⅰ",T328="新加算Ⅱ",T328="新加算Ⅲ",T328="新加算Ⅴ（１）",T328="新加算Ⅴ（３）",T328="新加算Ⅴ（８）"),IF(OR(AP328="○",AP328="令和６年度中に満たす"),"入力済","未入力"),"")</f>
        <v/>
      </c>
      <c r="BC328" s="1472"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03" t="str">
        <f>IF(OR(T328="新加算Ⅰ",T328="新加算Ⅴ（１）",T328="新加算Ⅴ（２）",T328="新加算Ⅴ（５）",T328="新加算Ⅴ（７）",T328="新加算Ⅴ（10）"),IF(AR328="","未入力","入力済"),"")</f>
        <v/>
      </c>
      <c r="BE328" s="1303" t="str">
        <f>G326</f>
        <v/>
      </c>
      <c r="BF328" s="1303"/>
      <c r="BG328" s="1303"/>
    </row>
    <row r="329" spans="1:59" ht="30" customHeight="1" thickBot="1">
      <c r="A329" s="1268"/>
      <c r="B329" s="1411"/>
      <c r="C329" s="1412"/>
      <c r="D329" s="1412"/>
      <c r="E329" s="1412"/>
      <c r="F329" s="1413"/>
      <c r="G329" s="1253"/>
      <c r="H329" s="1253"/>
      <c r="I329" s="1253"/>
      <c r="J329" s="1416"/>
      <c r="K329" s="1253"/>
      <c r="L329" s="1422"/>
      <c r="M329" s="553" t="str">
        <f>IF('別紙様式2-2（４・５月分）'!P250="","",'別紙様式2-2（４・５月分）'!P250)</f>
        <v/>
      </c>
      <c r="N329" s="1394"/>
      <c r="O329" s="1374"/>
      <c r="P329" s="1426"/>
      <c r="Q329" s="1378"/>
      <c r="R329" s="1509"/>
      <c r="S329" s="1382"/>
      <c r="T329" s="1511"/>
      <c r="U329" s="1507"/>
      <c r="V329" s="1388"/>
      <c r="W329" s="1505"/>
      <c r="X329" s="1364"/>
      <c r="Y329" s="1505"/>
      <c r="Z329" s="1364"/>
      <c r="AA329" s="1505"/>
      <c r="AB329" s="1364"/>
      <c r="AC329" s="1505"/>
      <c r="AD329" s="1364"/>
      <c r="AE329" s="1364"/>
      <c r="AF329" s="1364"/>
      <c r="AG329" s="1360"/>
      <c r="AH329" s="1366"/>
      <c r="AI329" s="1499"/>
      <c r="AJ329" s="1370"/>
      <c r="AK329" s="1501"/>
      <c r="AL329" s="1503"/>
      <c r="AM329" s="1495"/>
      <c r="AN329" s="1476"/>
      <c r="AO329" s="1497"/>
      <c r="AP329" s="1476"/>
      <c r="AQ329" s="1478"/>
      <c r="AR329" s="1480"/>
      <c r="AS329" s="575"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1"/>
      <c r="AU329" s="1303"/>
      <c r="AV329" s="555" t="str">
        <f>IF('別紙様式2-2（４・５月分）'!N250="","",'別紙様式2-2（４・５月分）'!N250)</f>
        <v/>
      </c>
      <c r="AW329" s="1305"/>
      <c r="AX329" s="576"/>
      <c r="AY329" s="1222" t="str">
        <f>IF(OR(T329="新加算Ⅰ",T329="新加算Ⅱ",T329="新加算Ⅲ",T329="新加算Ⅳ",T329="新加算Ⅴ（１）",T329="新加算Ⅴ（２）",T329="新加算Ⅴ（３）",T329="新加算ⅠⅤ（４）",T329="新加算Ⅴ（５）",T329="新加算Ⅴ（６）",T329="新加算Ⅴ（８）",T329="新加算Ⅴ（11）"),IF(AI329="○","","未入力"),"")</f>
        <v/>
      </c>
      <c r="AZ329" s="1222" t="str">
        <f>IF(OR(U329="新加算Ⅰ",U329="新加算Ⅱ",U329="新加算Ⅲ",U329="新加算Ⅳ",U329="新加算Ⅴ（１）",U329="新加算Ⅴ（２）",U329="新加算Ⅴ（３）",U329="新加算ⅠⅤ（４）",U329="新加算Ⅴ（５）",U329="新加算Ⅴ（６）",U329="新加算Ⅴ（８）",U329="新加算Ⅴ（11）"),IF(AJ329="○","","未入力"),"")</f>
        <v/>
      </c>
      <c r="BA329" s="1222" t="str">
        <f>IF(OR(U329="新加算Ⅴ（７）",U329="新加算Ⅴ（９）",U329="新加算Ⅴ（10）",U329="新加算Ⅴ（12）",U329="新加算Ⅴ（13）",U329="新加算Ⅴ（14）"),IF(AK329="○","","未入力"),"")</f>
        <v/>
      </c>
      <c r="BB329" s="1222" t="str">
        <f>IF(OR(U329="新加算Ⅰ",U329="新加算Ⅱ",U329="新加算Ⅲ",U329="新加算Ⅴ（１）",U329="新加算Ⅴ（３）",U329="新加算Ⅴ（８）"),IF(AL329="○","","未入力"),"")</f>
        <v/>
      </c>
      <c r="BC329" s="1472"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03" t="str">
        <f>IF(AND(T329&lt;&gt;"（参考）令和７年度の移行予定",OR(U329="新加算Ⅰ",U329="新加算Ⅴ（１）",U329="新加算Ⅴ（２）",U329="新加算Ⅴ（５）",U329="新加算Ⅴ（７）",U329="新加算Ⅴ（10）")),IF(AN329="","未入力",IF(AN329="いずれも取得していない","要件を満たさない","")),"")</f>
        <v/>
      </c>
      <c r="BE329" s="1303" t="str">
        <f>G326</f>
        <v/>
      </c>
      <c r="BF329" s="1303"/>
      <c r="BG329" s="1303"/>
    </row>
    <row r="330" spans="1:59" ht="30" customHeight="1">
      <c r="A330" s="1293">
        <v>80</v>
      </c>
      <c r="B330" s="1235" t="str">
        <f>IF(基本情報入力シート!C133="","",基本情報入力シート!C133)</f>
        <v/>
      </c>
      <c r="C330" s="1236"/>
      <c r="D330" s="1236"/>
      <c r="E330" s="1236"/>
      <c r="F330" s="1237"/>
      <c r="G330" s="1252" t="str">
        <f>IF(基本情報入力シート!M133="","",基本情報入力シート!M133)</f>
        <v/>
      </c>
      <c r="H330" s="1252" t="str">
        <f>IF(基本情報入力シート!R133="","",基本情報入力シート!R133)</f>
        <v/>
      </c>
      <c r="I330" s="1252" t="str">
        <f>IF(基本情報入力シート!W133="","",基本情報入力シート!W133)</f>
        <v/>
      </c>
      <c r="J330" s="1415" t="str">
        <f>IF(基本情報入力シート!X133="","",基本情報入力シート!X133)</f>
        <v/>
      </c>
      <c r="K330" s="1252" t="str">
        <f>IF(基本情報入力シート!Y133="","",基本情報入力シート!Y133)</f>
        <v/>
      </c>
      <c r="L330" s="1421" t="str">
        <f>IF(基本情報入力シート!AB133="","",基本情報入力シート!AB133)</f>
        <v/>
      </c>
      <c r="M330" s="550" t="str">
        <f>IF('別紙様式2-2（４・５月分）'!P251="","",'別紙様式2-2（４・５月分）'!P251)</f>
        <v/>
      </c>
      <c r="N330" s="1391" t="str">
        <f>IF(SUM('別紙様式2-2（４・５月分）'!Q251:Q253)=0,"",SUM('別紙様式2-2（４・５月分）'!Q251:Q253))</f>
        <v/>
      </c>
      <c r="O330" s="1395" t="str">
        <f>IFERROR(VLOOKUP('別紙様式2-2（４・５月分）'!AQ251,【参考】数式用!$AR$5:$AS$22,2,FALSE),"")</f>
        <v/>
      </c>
      <c r="P330" s="1396"/>
      <c r="Q330" s="1397"/>
      <c r="R330" s="1531" t="str">
        <f>IFERROR(VLOOKUP(K330,【参考】数式用!$A$5:$AB$37,MATCH(O330,【参考】数式用!$B$4:$AB$4,0)+1,0),"")</f>
        <v/>
      </c>
      <c r="S330" s="1403" t="s">
        <v>2102</v>
      </c>
      <c r="T330" s="1527" t="str">
        <f>IF('別紙様式2-3（６月以降分）'!T330="","",'別紙様式2-3（６月以降分）'!T330)</f>
        <v/>
      </c>
      <c r="U330" s="1529" t="str">
        <f>IFERROR(VLOOKUP(K330,【参考】数式用!$A$5:$AB$37,MATCH(T330,【参考】数式用!$B$4:$AB$4,0)+1,0),"")</f>
        <v/>
      </c>
      <c r="V330" s="1409" t="s">
        <v>15</v>
      </c>
      <c r="W330" s="1525">
        <f>'別紙様式2-3（６月以降分）'!W330</f>
        <v>6</v>
      </c>
      <c r="X330" s="1349" t="s">
        <v>10</v>
      </c>
      <c r="Y330" s="1525">
        <f>'別紙様式2-3（６月以降分）'!Y330</f>
        <v>6</v>
      </c>
      <c r="Z330" s="1349" t="s">
        <v>38</v>
      </c>
      <c r="AA330" s="1525">
        <f>'別紙様式2-3（６月以降分）'!AA330</f>
        <v>7</v>
      </c>
      <c r="AB330" s="1349" t="s">
        <v>10</v>
      </c>
      <c r="AC330" s="1525">
        <f>'別紙様式2-3（６月以降分）'!AC330</f>
        <v>3</v>
      </c>
      <c r="AD330" s="1349" t="s">
        <v>2020</v>
      </c>
      <c r="AE330" s="1349" t="s">
        <v>20</v>
      </c>
      <c r="AF330" s="1349">
        <f>IF(W330&gt;=1,(AA330*12+AC330)-(W330*12+Y330)+1,"")</f>
        <v>10</v>
      </c>
      <c r="AG330" s="1351" t="s">
        <v>33</v>
      </c>
      <c r="AH330" s="1517" t="str">
        <f>'別紙様式2-3（６月以降分）'!AH330</f>
        <v/>
      </c>
      <c r="AI330" s="1519" t="str">
        <f>'別紙様式2-3（６月以降分）'!AI330</f>
        <v/>
      </c>
      <c r="AJ330" s="1521">
        <f>'別紙様式2-3（６月以降分）'!AJ330</f>
        <v>0</v>
      </c>
      <c r="AK330" s="1523" t="str">
        <f>IF('別紙様式2-3（６月以降分）'!AK330="","",'別紙様式2-3（６月以降分）'!AK330)</f>
        <v/>
      </c>
      <c r="AL330" s="1512">
        <f>'別紙様式2-3（６月以降分）'!AL330</f>
        <v>0</v>
      </c>
      <c r="AM330" s="1514" t="str">
        <f>IF('別紙様式2-3（６月以降分）'!AM330="","",'別紙様式2-3（６月以降分）'!AM330)</f>
        <v/>
      </c>
      <c r="AN330" s="1333" t="str">
        <f>IF('別紙様式2-3（６月以降分）'!AN330="","",'別紙様式2-3（６月以降分）'!AN330)</f>
        <v/>
      </c>
      <c r="AO330" s="1331" t="str">
        <f>IF('別紙様式2-3（６月以降分）'!AO330="","",'別紙様式2-3（６月以降分）'!AO330)</f>
        <v/>
      </c>
      <c r="AP330" s="1333" t="str">
        <f>IF('別紙様式2-3（６月以降分）'!AP330="","",'別紙様式2-3（６月以降分）'!AP330)</f>
        <v/>
      </c>
      <c r="AQ330" s="1481" t="str">
        <f>IF('別紙様式2-3（６月以降分）'!AQ330="","",'別紙様式2-3（６月以降分）'!AQ330)</f>
        <v/>
      </c>
      <c r="AR330" s="1484" t="str">
        <f>IF('別紙様式2-3（６月以降分）'!AR330="","",'別紙様式2-3（６月以降分）'!AR330)</f>
        <v/>
      </c>
      <c r="AS330" s="570" t="str">
        <f t="shared" ref="AS330" si="546">IF(AU332="","",IF(U332&lt;U330,"！加算の要件上は問題ありませんが、令和６年度当初の新加算の加算率と比較して、移行後の加算率が下がる計画になっています。",""))</f>
        <v/>
      </c>
      <c r="AT330" s="577"/>
      <c r="AU330" s="1301"/>
      <c r="AV330" s="555" t="str">
        <f>IF('別紙様式2-2（４・５月分）'!N251="","",'別紙様式2-2（４・５月分）'!N251)</f>
        <v/>
      </c>
      <c r="AW330" s="1305" t="str">
        <f>IF(SUM('別紙様式2-2（４・５月分）'!O251:O253)=0,"",SUM('別紙様式2-2（４・５月分）'!O251:O253))</f>
        <v/>
      </c>
      <c r="AX330" s="1473" t="str">
        <f>IFERROR(VLOOKUP(K330,【参考】数式用!$AH$2:$AI$34,2,FALSE),"")</f>
        <v/>
      </c>
      <c r="AY330" s="493"/>
      <c r="BD330" s="340"/>
      <c r="BE330" s="1303" t="str">
        <f>G330</f>
        <v/>
      </c>
      <c r="BF330" s="1303"/>
      <c r="BG330" s="1303"/>
    </row>
    <row r="331" spans="1:59" ht="15" customHeight="1">
      <c r="A331" s="1267"/>
      <c r="B331" s="1235"/>
      <c r="C331" s="1236"/>
      <c r="D331" s="1236"/>
      <c r="E331" s="1236"/>
      <c r="F331" s="1237"/>
      <c r="G331" s="1252"/>
      <c r="H331" s="1252"/>
      <c r="I331" s="1252"/>
      <c r="J331" s="1415"/>
      <c r="K331" s="1252"/>
      <c r="L331" s="1421"/>
      <c r="M331" s="1371" t="str">
        <f>IF('別紙様式2-2（４・５月分）'!P252="","",'別紙様式2-2（４・５月分）'!P252)</f>
        <v/>
      </c>
      <c r="N331" s="1392"/>
      <c r="O331" s="1398"/>
      <c r="P331" s="1399"/>
      <c r="Q331" s="1400"/>
      <c r="R331" s="1532"/>
      <c r="S331" s="1404"/>
      <c r="T331" s="1528"/>
      <c r="U331" s="1530"/>
      <c r="V331" s="1410"/>
      <c r="W331" s="1526"/>
      <c r="X331" s="1350"/>
      <c r="Y331" s="1526"/>
      <c r="Z331" s="1350"/>
      <c r="AA331" s="1526"/>
      <c r="AB331" s="1350"/>
      <c r="AC331" s="1526"/>
      <c r="AD331" s="1350"/>
      <c r="AE331" s="1350"/>
      <c r="AF331" s="1350"/>
      <c r="AG331" s="1352"/>
      <c r="AH331" s="1518"/>
      <c r="AI331" s="1520"/>
      <c r="AJ331" s="1522"/>
      <c r="AK331" s="1524"/>
      <c r="AL331" s="1513"/>
      <c r="AM331" s="1515"/>
      <c r="AN331" s="1334"/>
      <c r="AO331" s="1516"/>
      <c r="AP331" s="1334"/>
      <c r="AQ331" s="1482"/>
      <c r="AR331" s="1485"/>
      <c r="AS331" s="1483" t="str">
        <f t="shared" ref="AS331" si="547">IF(AU332="","",IF(OR(AA332="",AA332&lt;&gt;7,AC332="",AC332&lt;&gt;3),"！算定期間の終わりが令和７年３月になっていません。年度内の廃止予定等がなければ、算定対象月を令和７年３月にしてください。",""))</f>
        <v/>
      </c>
      <c r="AT331" s="577"/>
      <c r="AU331" s="1303"/>
      <c r="AV331" s="1304" t="str">
        <f>IF('別紙様式2-2（４・５月分）'!N252="","",'別紙様式2-2（４・５月分）'!N252)</f>
        <v/>
      </c>
      <c r="AW331" s="1305"/>
      <c r="AX331" s="1474"/>
      <c r="AY331" s="430"/>
      <c r="BD331" s="340"/>
      <c r="BE331" s="1303" t="str">
        <f>G330</f>
        <v/>
      </c>
      <c r="BF331" s="1303"/>
      <c r="BG331" s="1303"/>
    </row>
    <row r="332" spans="1:59" ht="15" customHeight="1">
      <c r="A332" s="1295"/>
      <c r="B332" s="1235"/>
      <c r="C332" s="1236"/>
      <c r="D332" s="1236"/>
      <c r="E332" s="1236"/>
      <c r="F332" s="1237"/>
      <c r="G332" s="1252"/>
      <c r="H332" s="1252"/>
      <c r="I332" s="1252"/>
      <c r="J332" s="1415"/>
      <c r="K332" s="1252"/>
      <c r="L332" s="1421"/>
      <c r="M332" s="1372"/>
      <c r="N332" s="1393"/>
      <c r="O332" s="1373" t="s">
        <v>2025</v>
      </c>
      <c r="P332" s="1425" t="str">
        <f>IFERROR(VLOOKUP('別紙様式2-2（４・５月分）'!AQ251,【参考】数式用!$AR$5:$AT$22,3,FALSE),"")</f>
        <v/>
      </c>
      <c r="Q332" s="1377" t="s">
        <v>2036</v>
      </c>
      <c r="R332" s="1508" t="str">
        <f>IFERROR(VLOOKUP(K330,【参考】数式用!$A$5:$AB$37,MATCH(P332,【参考】数式用!$B$4:$AB$4,0)+1,0),"")</f>
        <v/>
      </c>
      <c r="S332" s="1381" t="s">
        <v>2109</v>
      </c>
      <c r="T332" s="1510"/>
      <c r="U332" s="1506" t="str">
        <f>IFERROR(VLOOKUP(K330,【参考】数式用!$A$5:$AB$37,MATCH(T332,【参考】数式用!$B$4:$AB$4,0)+1,0),"")</f>
        <v/>
      </c>
      <c r="V332" s="1387" t="s">
        <v>15</v>
      </c>
      <c r="W332" s="1504"/>
      <c r="X332" s="1363" t="s">
        <v>10</v>
      </c>
      <c r="Y332" s="1504"/>
      <c r="Z332" s="1363" t="s">
        <v>38</v>
      </c>
      <c r="AA332" s="1504"/>
      <c r="AB332" s="1363" t="s">
        <v>10</v>
      </c>
      <c r="AC332" s="1504"/>
      <c r="AD332" s="1363" t="s">
        <v>2020</v>
      </c>
      <c r="AE332" s="1363" t="s">
        <v>20</v>
      </c>
      <c r="AF332" s="1363" t="str">
        <f>IF(W332&gt;=1,(AA332*12+AC332)-(W332*12+Y332)+1,"")</f>
        <v/>
      </c>
      <c r="AG332" s="1359" t="s">
        <v>33</v>
      </c>
      <c r="AH332" s="1365" t="str">
        <f t="shared" ref="AH332" si="548">IFERROR(ROUNDDOWN(ROUND(L330*U332,0),0)*AF332,"")</f>
        <v/>
      </c>
      <c r="AI332" s="1498" t="str">
        <f t="shared" ref="AI332" si="549">IFERROR(ROUNDDOWN(ROUND((L330*(U332-AW330)),0),0)*AF332,"")</f>
        <v/>
      </c>
      <c r="AJ332" s="1369" t="str">
        <f>IFERROR(ROUNDDOWN(ROUNDDOWN(ROUND(L330*VLOOKUP(K330,【参考】数式用!$A$5:$AB$27,MATCH("新加算Ⅳ",【参考】数式用!$B$4:$AB$4,0)+1,0),0),0)*AF332*0.5,0),"")</f>
        <v/>
      </c>
      <c r="AK332" s="1500"/>
      <c r="AL332" s="1502" t="str">
        <f>IFERROR(IF('別紙様式2-2（４・５月分）'!P332="ベア加算","", IF(OR(T332="新加算Ⅰ",T332="新加算Ⅱ",T332="新加算Ⅲ",T332="新加算Ⅳ"),ROUNDDOWN(ROUND(L330*VLOOKUP(K330,【参考】数式用!$A$5:$I$27,MATCH("ベア加算",【参考】数式用!$B$4:$I$4,0)+1,0),0),0)*AF332,"")),"")</f>
        <v/>
      </c>
      <c r="AM332" s="1494"/>
      <c r="AN332" s="1475"/>
      <c r="AO332" s="1496"/>
      <c r="AP332" s="1475"/>
      <c r="AQ332" s="1477"/>
      <c r="AR332" s="1479"/>
      <c r="AS332" s="1483"/>
      <c r="AT332" s="451"/>
      <c r="AU332" s="1303" t="str">
        <f>IF(AND(AA330&lt;&gt;7,AC330&lt;&gt;3),"V列に色付け","")</f>
        <v/>
      </c>
      <c r="AV332" s="1304"/>
      <c r="AW332" s="1305"/>
      <c r="AX332" s="574"/>
      <c r="AY332" s="1222" t="str">
        <f>IF(AL332&lt;&gt;"",IF(AM332="○","入力済","未入力"),"")</f>
        <v/>
      </c>
      <c r="AZ332" s="1222"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2" t="str">
        <f>IF(OR(T332="新加算Ⅴ（７）",T332="新加算Ⅴ（９）",T332="新加算Ⅴ（10）",T332="新加算Ⅴ（12）",T332="新加算Ⅴ（13）",T332="新加算Ⅴ（14）"),IF(OR(AO332="○",AO332="令和６年度中に満たす"),"入力済","未入力"),"")</f>
        <v/>
      </c>
      <c r="BB332" s="1222" t="str">
        <f>IF(OR(T332="新加算Ⅰ",T332="新加算Ⅱ",T332="新加算Ⅲ",T332="新加算Ⅴ（１）",T332="新加算Ⅴ（３）",T332="新加算Ⅴ（８）"),IF(OR(AP332="○",AP332="令和６年度中に満たす"),"入力済","未入力"),"")</f>
        <v/>
      </c>
      <c r="BC332" s="1472"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03" t="str">
        <f>IF(OR(T332="新加算Ⅰ",T332="新加算Ⅴ（１）",T332="新加算Ⅴ（２）",T332="新加算Ⅴ（５）",T332="新加算Ⅴ（７）",T332="新加算Ⅴ（10）"),IF(AR332="","未入力","入力済"),"")</f>
        <v/>
      </c>
      <c r="BE332" s="1303" t="str">
        <f>G330</f>
        <v/>
      </c>
      <c r="BF332" s="1303"/>
      <c r="BG332" s="1303"/>
    </row>
    <row r="333" spans="1:59" ht="30" customHeight="1" thickBot="1">
      <c r="A333" s="1268"/>
      <c r="B333" s="1411"/>
      <c r="C333" s="1412"/>
      <c r="D333" s="1412"/>
      <c r="E333" s="1412"/>
      <c r="F333" s="1413"/>
      <c r="G333" s="1253"/>
      <c r="H333" s="1253"/>
      <c r="I333" s="1253"/>
      <c r="J333" s="1416"/>
      <c r="K333" s="1253"/>
      <c r="L333" s="1422"/>
      <c r="M333" s="553" t="str">
        <f>IF('別紙様式2-2（４・５月分）'!P253="","",'別紙様式2-2（４・５月分）'!P253)</f>
        <v/>
      </c>
      <c r="N333" s="1394"/>
      <c r="O333" s="1374"/>
      <c r="P333" s="1426"/>
      <c r="Q333" s="1378"/>
      <c r="R333" s="1509"/>
      <c r="S333" s="1382"/>
      <c r="T333" s="1511"/>
      <c r="U333" s="1507"/>
      <c r="V333" s="1388"/>
      <c r="W333" s="1505"/>
      <c r="X333" s="1364"/>
      <c r="Y333" s="1505"/>
      <c r="Z333" s="1364"/>
      <c r="AA333" s="1505"/>
      <c r="AB333" s="1364"/>
      <c r="AC333" s="1505"/>
      <c r="AD333" s="1364"/>
      <c r="AE333" s="1364"/>
      <c r="AF333" s="1364"/>
      <c r="AG333" s="1360"/>
      <c r="AH333" s="1366"/>
      <c r="AI333" s="1499"/>
      <c r="AJ333" s="1370"/>
      <c r="AK333" s="1501"/>
      <c r="AL333" s="1503"/>
      <c r="AM333" s="1495"/>
      <c r="AN333" s="1476"/>
      <c r="AO333" s="1497"/>
      <c r="AP333" s="1476"/>
      <c r="AQ333" s="1478"/>
      <c r="AR333" s="1480"/>
      <c r="AS333" s="575"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1"/>
      <c r="AU333" s="1303"/>
      <c r="AV333" s="555" t="str">
        <f>IF('別紙様式2-2（４・５月分）'!N253="","",'別紙様式2-2（４・５月分）'!N253)</f>
        <v/>
      </c>
      <c r="AW333" s="1305"/>
      <c r="AX333" s="576"/>
      <c r="AY333" s="1222" t="str">
        <f>IF(OR(T333="新加算Ⅰ",T333="新加算Ⅱ",T333="新加算Ⅲ",T333="新加算Ⅳ",T333="新加算Ⅴ（１）",T333="新加算Ⅴ（２）",T333="新加算Ⅴ（３）",T333="新加算ⅠⅤ（４）",T333="新加算Ⅴ（５）",T333="新加算Ⅴ（６）",T333="新加算Ⅴ（８）",T333="新加算Ⅴ（11）"),IF(AI333="○","","未入力"),"")</f>
        <v/>
      </c>
      <c r="AZ333" s="1222" t="str">
        <f>IF(OR(U333="新加算Ⅰ",U333="新加算Ⅱ",U333="新加算Ⅲ",U333="新加算Ⅳ",U333="新加算Ⅴ（１）",U333="新加算Ⅴ（２）",U333="新加算Ⅴ（３）",U333="新加算ⅠⅤ（４）",U333="新加算Ⅴ（５）",U333="新加算Ⅴ（６）",U333="新加算Ⅴ（８）",U333="新加算Ⅴ（11）"),IF(AJ333="○","","未入力"),"")</f>
        <v/>
      </c>
      <c r="BA333" s="1222" t="str">
        <f>IF(OR(U333="新加算Ⅴ（７）",U333="新加算Ⅴ（９）",U333="新加算Ⅴ（10）",U333="新加算Ⅴ（12）",U333="新加算Ⅴ（13）",U333="新加算Ⅴ（14）"),IF(AK333="○","","未入力"),"")</f>
        <v/>
      </c>
      <c r="BB333" s="1222" t="str">
        <f>IF(OR(U333="新加算Ⅰ",U333="新加算Ⅱ",U333="新加算Ⅲ",U333="新加算Ⅴ（１）",U333="新加算Ⅴ（３）",U333="新加算Ⅴ（８）"),IF(AL333="○","","未入力"),"")</f>
        <v/>
      </c>
      <c r="BC333" s="1472"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03" t="str">
        <f>IF(AND(T333&lt;&gt;"（参考）令和７年度の移行予定",OR(U333="新加算Ⅰ",U333="新加算Ⅴ（１）",U333="新加算Ⅴ（２）",U333="新加算Ⅴ（５）",U333="新加算Ⅴ（７）",U333="新加算Ⅴ（10）")),IF(AN333="","未入力",IF(AN333="いずれも取得していない","要件を満たさない","")),"")</f>
        <v/>
      </c>
      <c r="BE333" s="1303" t="str">
        <f>G330</f>
        <v/>
      </c>
      <c r="BF333" s="1303"/>
      <c r="BG333" s="1303"/>
    </row>
    <row r="334" spans="1:59" ht="30" customHeight="1">
      <c r="A334" s="1266">
        <v>81</v>
      </c>
      <c r="B334" s="1232" t="str">
        <f>IF(基本情報入力シート!C134="","",基本情報入力シート!C134)</f>
        <v/>
      </c>
      <c r="C334" s="1233"/>
      <c r="D334" s="1233"/>
      <c r="E334" s="1233"/>
      <c r="F334" s="1234"/>
      <c r="G334" s="1251" t="str">
        <f>IF(基本情報入力シート!M134="","",基本情報入力シート!M134)</f>
        <v/>
      </c>
      <c r="H334" s="1251" t="str">
        <f>IF(基本情報入力シート!R134="","",基本情報入力シート!R134)</f>
        <v/>
      </c>
      <c r="I334" s="1251" t="str">
        <f>IF(基本情報入力シート!W134="","",基本情報入力シート!W134)</f>
        <v/>
      </c>
      <c r="J334" s="1414" t="str">
        <f>IF(基本情報入力シート!X134="","",基本情報入力シート!X134)</f>
        <v/>
      </c>
      <c r="K334" s="1251" t="str">
        <f>IF(基本情報入力シート!Y134="","",基本情報入力シート!Y134)</f>
        <v/>
      </c>
      <c r="L334" s="1427" t="str">
        <f>IF(基本情報入力シート!AB134="","",基本情報入力シート!AB134)</f>
        <v/>
      </c>
      <c r="M334" s="550" t="str">
        <f>IF('別紙様式2-2（４・５月分）'!P254="","",'別紙様式2-2（４・５月分）'!P254)</f>
        <v/>
      </c>
      <c r="N334" s="1391" t="str">
        <f>IF(SUM('別紙様式2-2（４・５月分）'!Q254:Q256)=0,"",SUM('別紙様式2-2（４・５月分）'!Q254:Q256))</f>
        <v/>
      </c>
      <c r="O334" s="1395" t="str">
        <f>IFERROR(VLOOKUP('別紙様式2-2（４・５月分）'!AQ254,【参考】数式用!$AR$5:$AS$22,2,FALSE),"")</f>
        <v/>
      </c>
      <c r="P334" s="1396"/>
      <c r="Q334" s="1397"/>
      <c r="R334" s="1531" t="str">
        <f>IFERROR(VLOOKUP(K334,【参考】数式用!$A$5:$AB$37,MATCH(O334,【参考】数式用!$B$4:$AB$4,0)+1,0),"")</f>
        <v/>
      </c>
      <c r="S334" s="1403" t="s">
        <v>2102</v>
      </c>
      <c r="T334" s="1527" t="str">
        <f>IF('別紙様式2-3（６月以降分）'!T334="","",'別紙様式2-3（６月以降分）'!T334)</f>
        <v/>
      </c>
      <c r="U334" s="1529" t="str">
        <f>IFERROR(VLOOKUP(K334,【参考】数式用!$A$5:$AB$37,MATCH(T334,【参考】数式用!$B$4:$AB$4,0)+1,0),"")</f>
        <v/>
      </c>
      <c r="V334" s="1409" t="s">
        <v>15</v>
      </c>
      <c r="W334" s="1525">
        <f>'別紙様式2-3（６月以降分）'!W334</f>
        <v>6</v>
      </c>
      <c r="X334" s="1349" t="s">
        <v>10</v>
      </c>
      <c r="Y334" s="1525">
        <f>'別紙様式2-3（６月以降分）'!Y334</f>
        <v>6</v>
      </c>
      <c r="Z334" s="1349" t="s">
        <v>38</v>
      </c>
      <c r="AA334" s="1525">
        <f>'別紙様式2-3（６月以降分）'!AA334</f>
        <v>7</v>
      </c>
      <c r="AB334" s="1349" t="s">
        <v>10</v>
      </c>
      <c r="AC334" s="1525">
        <f>'別紙様式2-3（６月以降分）'!AC334</f>
        <v>3</v>
      </c>
      <c r="AD334" s="1349" t="s">
        <v>2020</v>
      </c>
      <c r="AE334" s="1349" t="s">
        <v>20</v>
      </c>
      <c r="AF334" s="1349">
        <f>IF(W334&gt;=1,(AA334*12+AC334)-(W334*12+Y334)+1,"")</f>
        <v>10</v>
      </c>
      <c r="AG334" s="1351" t="s">
        <v>33</v>
      </c>
      <c r="AH334" s="1517" t="str">
        <f>'別紙様式2-3（６月以降分）'!AH334</f>
        <v/>
      </c>
      <c r="AI334" s="1519" t="str">
        <f>'別紙様式2-3（６月以降分）'!AI334</f>
        <v/>
      </c>
      <c r="AJ334" s="1521">
        <f>'別紙様式2-3（６月以降分）'!AJ334</f>
        <v>0</v>
      </c>
      <c r="AK334" s="1523" t="str">
        <f>IF('別紙様式2-3（６月以降分）'!AK334="","",'別紙様式2-3（６月以降分）'!AK334)</f>
        <v/>
      </c>
      <c r="AL334" s="1512">
        <f>'別紙様式2-3（６月以降分）'!AL334</f>
        <v>0</v>
      </c>
      <c r="AM334" s="1514" t="str">
        <f>IF('別紙様式2-3（６月以降分）'!AM334="","",'別紙様式2-3（６月以降分）'!AM334)</f>
        <v/>
      </c>
      <c r="AN334" s="1333" t="str">
        <f>IF('別紙様式2-3（６月以降分）'!AN334="","",'別紙様式2-3（６月以降分）'!AN334)</f>
        <v/>
      </c>
      <c r="AO334" s="1331" t="str">
        <f>IF('別紙様式2-3（６月以降分）'!AO334="","",'別紙様式2-3（６月以降分）'!AO334)</f>
        <v/>
      </c>
      <c r="AP334" s="1333" t="str">
        <f>IF('別紙様式2-3（６月以降分）'!AP334="","",'別紙様式2-3（６月以降分）'!AP334)</f>
        <v/>
      </c>
      <c r="AQ334" s="1481" t="str">
        <f>IF('別紙様式2-3（６月以降分）'!AQ334="","",'別紙様式2-3（６月以降分）'!AQ334)</f>
        <v/>
      </c>
      <c r="AR334" s="1484" t="str">
        <f>IF('別紙様式2-3（６月以降分）'!AR334="","",'別紙様式2-3（６月以降分）'!AR334)</f>
        <v/>
      </c>
      <c r="AS334" s="570" t="str">
        <f t="shared" ref="AS334" si="553">IF(AU336="","",IF(U336&lt;U334,"！加算の要件上は問題ありませんが、令和６年度当初の新加算の加算率と比較して、移行後の加算率が下がる計画になっています。",""))</f>
        <v/>
      </c>
      <c r="AT334" s="577"/>
      <c r="AU334" s="1301"/>
      <c r="AV334" s="555" t="str">
        <f>IF('別紙様式2-2（４・５月分）'!N254="","",'別紙様式2-2（４・５月分）'!N254)</f>
        <v/>
      </c>
      <c r="AW334" s="1305" t="str">
        <f>IF(SUM('別紙様式2-2（４・５月分）'!O254:O256)=0,"",SUM('別紙様式2-2（４・５月分）'!O254:O256))</f>
        <v/>
      </c>
      <c r="AX334" s="1473" t="str">
        <f>IFERROR(VLOOKUP(K334,【参考】数式用!$AH$2:$AI$34,2,FALSE),"")</f>
        <v/>
      </c>
      <c r="AY334" s="493"/>
      <c r="BD334" s="340"/>
      <c r="BE334" s="1303" t="str">
        <f>G334</f>
        <v/>
      </c>
      <c r="BF334" s="1303"/>
      <c r="BG334" s="1303"/>
    </row>
    <row r="335" spans="1:59" ht="15" customHeight="1">
      <c r="A335" s="1267"/>
      <c r="B335" s="1235"/>
      <c r="C335" s="1236"/>
      <c r="D335" s="1236"/>
      <c r="E335" s="1236"/>
      <c r="F335" s="1237"/>
      <c r="G335" s="1252"/>
      <c r="H335" s="1252"/>
      <c r="I335" s="1252"/>
      <c r="J335" s="1415"/>
      <c r="K335" s="1252"/>
      <c r="L335" s="1421"/>
      <c r="M335" s="1371" t="str">
        <f>IF('別紙様式2-2（４・５月分）'!P255="","",'別紙様式2-2（４・５月分）'!P255)</f>
        <v/>
      </c>
      <c r="N335" s="1392"/>
      <c r="O335" s="1398"/>
      <c r="P335" s="1399"/>
      <c r="Q335" s="1400"/>
      <c r="R335" s="1532"/>
      <c r="S335" s="1404"/>
      <c r="T335" s="1528"/>
      <c r="U335" s="1530"/>
      <c r="V335" s="1410"/>
      <c r="W335" s="1526"/>
      <c r="X335" s="1350"/>
      <c r="Y335" s="1526"/>
      <c r="Z335" s="1350"/>
      <c r="AA335" s="1526"/>
      <c r="AB335" s="1350"/>
      <c r="AC335" s="1526"/>
      <c r="AD335" s="1350"/>
      <c r="AE335" s="1350"/>
      <c r="AF335" s="1350"/>
      <c r="AG335" s="1352"/>
      <c r="AH335" s="1518"/>
      <c r="AI335" s="1520"/>
      <c r="AJ335" s="1522"/>
      <c r="AK335" s="1524"/>
      <c r="AL335" s="1513"/>
      <c r="AM335" s="1515"/>
      <c r="AN335" s="1334"/>
      <c r="AO335" s="1516"/>
      <c r="AP335" s="1334"/>
      <c r="AQ335" s="1482"/>
      <c r="AR335" s="1485"/>
      <c r="AS335" s="1483" t="str">
        <f t="shared" ref="AS335" si="554">IF(AU336="","",IF(OR(AA336="",AA336&lt;&gt;7,AC336="",AC336&lt;&gt;3),"！算定期間の終わりが令和７年３月になっていません。年度内の廃止予定等がなければ、算定対象月を令和７年３月にしてください。",""))</f>
        <v/>
      </c>
      <c r="AT335" s="577"/>
      <c r="AU335" s="1303"/>
      <c r="AV335" s="1304" t="str">
        <f>IF('別紙様式2-2（４・５月分）'!N255="","",'別紙様式2-2（４・５月分）'!N255)</f>
        <v/>
      </c>
      <c r="AW335" s="1305"/>
      <c r="AX335" s="1474"/>
      <c r="AY335" s="430"/>
      <c r="BD335" s="340"/>
      <c r="BE335" s="1303" t="str">
        <f>G334</f>
        <v/>
      </c>
      <c r="BF335" s="1303"/>
      <c r="BG335" s="1303"/>
    </row>
    <row r="336" spans="1:59" ht="15" customHeight="1">
      <c r="A336" s="1295"/>
      <c r="B336" s="1235"/>
      <c r="C336" s="1236"/>
      <c r="D336" s="1236"/>
      <c r="E336" s="1236"/>
      <c r="F336" s="1237"/>
      <c r="G336" s="1252"/>
      <c r="H336" s="1252"/>
      <c r="I336" s="1252"/>
      <c r="J336" s="1415"/>
      <c r="K336" s="1252"/>
      <c r="L336" s="1421"/>
      <c r="M336" s="1372"/>
      <c r="N336" s="1393"/>
      <c r="O336" s="1373" t="s">
        <v>2025</v>
      </c>
      <c r="P336" s="1425" t="str">
        <f>IFERROR(VLOOKUP('別紙様式2-2（４・５月分）'!AQ254,【参考】数式用!$AR$5:$AT$22,3,FALSE),"")</f>
        <v/>
      </c>
      <c r="Q336" s="1377" t="s">
        <v>2036</v>
      </c>
      <c r="R336" s="1508" t="str">
        <f>IFERROR(VLOOKUP(K334,【参考】数式用!$A$5:$AB$37,MATCH(P336,【参考】数式用!$B$4:$AB$4,0)+1,0),"")</f>
        <v/>
      </c>
      <c r="S336" s="1381" t="s">
        <v>2109</v>
      </c>
      <c r="T336" s="1510"/>
      <c r="U336" s="1506" t="str">
        <f>IFERROR(VLOOKUP(K334,【参考】数式用!$A$5:$AB$37,MATCH(T336,【参考】数式用!$B$4:$AB$4,0)+1,0),"")</f>
        <v/>
      </c>
      <c r="V336" s="1387" t="s">
        <v>15</v>
      </c>
      <c r="W336" s="1504"/>
      <c r="X336" s="1363" t="s">
        <v>10</v>
      </c>
      <c r="Y336" s="1504"/>
      <c r="Z336" s="1363" t="s">
        <v>38</v>
      </c>
      <c r="AA336" s="1504"/>
      <c r="AB336" s="1363" t="s">
        <v>10</v>
      </c>
      <c r="AC336" s="1504"/>
      <c r="AD336" s="1363" t="s">
        <v>2020</v>
      </c>
      <c r="AE336" s="1363" t="s">
        <v>20</v>
      </c>
      <c r="AF336" s="1363" t="str">
        <f>IF(W336&gt;=1,(AA336*12+AC336)-(W336*12+Y336)+1,"")</f>
        <v/>
      </c>
      <c r="AG336" s="1359" t="s">
        <v>33</v>
      </c>
      <c r="AH336" s="1365" t="str">
        <f t="shared" ref="AH336" si="555">IFERROR(ROUNDDOWN(ROUND(L334*U336,0),0)*AF336,"")</f>
        <v/>
      </c>
      <c r="AI336" s="1498" t="str">
        <f t="shared" ref="AI336" si="556">IFERROR(ROUNDDOWN(ROUND((L334*(U336-AW334)),0),0)*AF336,"")</f>
        <v/>
      </c>
      <c r="AJ336" s="1369" t="str">
        <f>IFERROR(ROUNDDOWN(ROUNDDOWN(ROUND(L334*VLOOKUP(K334,【参考】数式用!$A$5:$AB$27,MATCH("新加算Ⅳ",【参考】数式用!$B$4:$AB$4,0)+1,0),0),0)*AF336*0.5,0),"")</f>
        <v/>
      </c>
      <c r="AK336" s="1500"/>
      <c r="AL336" s="1502" t="str">
        <f>IFERROR(IF('別紙様式2-2（４・５月分）'!P336="ベア加算","", IF(OR(T336="新加算Ⅰ",T336="新加算Ⅱ",T336="新加算Ⅲ",T336="新加算Ⅳ"),ROUNDDOWN(ROUND(L334*VLOOKUP(K334,【参考】数式用!$A$5:$I$27,MATCH("ベア加算",【参考】数式用!$B$4:$I$4,0)+1,0),0),0)*AF336,"")),"")</f>
        <v/>
      </c>
      <c r="AM336" s="1494"/>
      <c r="AN336" s="1475"/>
      <c r="AO336" s="1496"/>
      <c r="AP336" s="1475"/>
      <c r="AQ336" s="1477"/>
      <c r="AR336" s="1479"/>
      <c r="AS336" s="1483"/>
      <c r="AT336" s="451"/>
      <c r="AU336" s="1303" t="str">
        <f>IF(AND(AA334&lt;&gt;7,AC334&lt;&gt;3),"V列に色付け","")</f>
        <v/>
      </c>
      <c r="AV336" s="1304"/>
      <c r="AW336" s="1305"/>
      <c r="AX336" s="574"/>
      <c r="AY336" s="1222" t="str">
        <f>IF(AL336&lt;&gt;"",IF(AM336="○","入力済","未入力"),"")</f>
        <v/>
      </c>
      <c r="AZ336" s="1222"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2" t="str">
        <f>IF(OR(T336="新加算Ⅴ（７）",T336="新加算Ⅴ（９）",T336="新加算Ⅴ（10）",T336="新加算Ⅴ（12）",T336="新加算Ⅴ（13）",T336="新加算Ⅴ（14）"),IF(OR(AO336="○",AO336="令和６年度中に満たす"),"入力済","未入力"),"")</f>
        <v/>
      </c>
      <c r="BB336" s="1222" t="str">
        <f>IF(OR(T336="新加算Ⅰ",T336="新加算Ⅱ",T336="新加算Ⅲ",T336="新加算Ⅴ（１）",T336="新加算Ⅴ（３）",T336="新加算Ⅴ（８）"),IF(OR(AP336="○",AP336="令和６年度中に満たす"),"入力済","未入力"),"")</f>
        <v/>
      </c>
      <c r="BC336" s="1472"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03" t="str">
        <f>IF(OR(T336="新加算Ⅰ",T336="新加算Ⅴ（１）",T336="新加算Ⅴ（２）",T336="新加算Ⅴ（５）",T336="新加算Ⅴ（７）",T336="新加算Ⅴ（10）"),IF(AR336="","未入力","入力済"),"")</f>
        <v/>
      </c>
      <c r="BE336" s="1303" t="str">
        <f>G334</f>
        <v/>
      </c>
      <c r="BF336" s="1303"/>
      <c r="BG336" s="1303"/>
    </row>
    <row r="337" spans="1:59" ht="30" customHeight="1" thickBot="1">
      <c r="A337" s="1268"/>
      <c r="B337" s="1411"/>
      <c r="C337" s="1412"/>
      <c r="D337" s="1412"/>
      <c r="E337" s="1412"/>
      <c r="F337" s="1413"/>
      <c r="G337" s="1253"/>
      <c r="H337" s="1253"/>
      <c r="I337" s="1253"/>
      <c r="J337" s="1416"/>
      <c r="K337" s="1253"/>
      <c r="L337" s="1422"/>
      <c r="M337" s="553" t="str">
        <f>IF('別紙様式2-2（４・５月分）'!P256="","",'別紙様式2-2（４・５月分）'!P256)</f>
        <v/>
      </c>
      <c r="N337" s="1394"/>
      <c r="O337" s="1374"/>
      <c r="P337" s="1426"/>
      <c r="Q337" s="1378"/>
      <c r="R337" s="1509"/>
      <c r="S337" s="1382"/>
      <c r="T337" s="1511"/>
      <c r="U337" s="1507"/>
      <c r="V337" s="1388"/>
      <c r="W337" s="1505"/>
      <c r="X337" s="1364"/>
      <c r="Y337" s="1505"/>
      <c r="Z337" s="1364"/>
      <c r="AA337" s="1505"/>
      <c r="AB337" s="1364"/>
      <c r="AC337" s="1505"/>
      <c r="AD337" s="1364"/>
      <c r="AE337" s="1364"/>
      <c r="AF337" s="1364"/>
      <c r="AG337" s="1360"/>
      <c r="AH337" s="1366"/>
      <c r="AI337" s="1499"/>
      <c r="AJ337" s="1370"/>
      <c r="AK337" s="1501"/>
      <c r="AL337" s="1503"/>
      <c r="AM337" s="1495"/>
      <c r="AN337" s="1476"/>
      <c r="AO337" s="1497"/>
      <c r="AP337" s="1476"/>
      <c r="AQ337" s="1478"/>
      <c r="AR337" s="1480"/>
      <c r="AS337" s="575"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1"/>
      <c r="AU337" s="1303"/>
      <c r="AV337" s="555" t="str">
        <f>IF('別紙様式2-2（４・５月分）'!N256="","",'別紙様式2-2（４・５月分）'!N256)</f>
        <v/>
      </c>
      <c r="AW337" s="1305"/>
      <c r="AX337" s="576"/>
      <c r="AY337" s="1222" t="str">
        <f>IF(OR(T337="新加算Ⅰ",T337="新加算Ⅱ",T337="新加算Ⅲ",T337="新加算Ⅳ",T337="新加算Ⅴ（１）",T337="新加算Ⅴ（２）",T337="新加算Ⅴ（３）",T337="新加算ⅠⅤ（４）",T337="新加算Ⅴ（５）",T337="新加算Ⅴ（６）",T337="新加算Ⅴ（８）",T337="新加算Ⅴ（11）"),IF(AI337="○","","未入力"),"")</f>
        <v/>
      </c>
      <c r="AZ337" s="1222" t="str">
        <f>IF(OR(U337="新加算Ⅰ",U337="新加算Ⅱ",U337="新加算Ⅲ",U337="新加算Ⅳ",U337="新加算Ⅴ（１）",U337="新加算Ⅴ（２）",U337="新加算Ⅴ（３）",U337="新加算ⅠⅤ（４）",U337="新加算Ⅴ（５）",U337="新加算Ⅴ（６）",U337="新加算Ⅴ（８）",U337="新加算Ⅴ（11）"),IF(AJ337="○","","未入力"),"")</f>
        <v/>
      </c>
      <c r="BA337" s="1222" t="str">
        <f>IF(OR(U337="新加算Ⅴ（７）",U337="新加算Ⅴ（９）",U337="新加算Ⅴ（10）",U337="新加算Ⅴ（12）",U337="新加算Ⅴ（13）",U337="新加算Ⅴ（14）"),IF(AK337="○","","未入力"),"")</f>
        <v/>
      </c>
      <c r="BB337" s="1222" t="str">
        <f>IF(OR(U337="新加算Ⅰ",U337="新加算Ⅱ",U337="新加算Ⅲ",U337="新加算Ⅴ（１）",U337="新加算Ⅴ（３）",U337="新加算Ⅴ（８）"),IF(AL337="○","","未入力"),"")</f>
        <v/>
      </c>
      <c r="BC337" s="1472"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03" t="str">
        <f>IF(AND(T337&lt;&gt;"（参考）令和７年度の移行予定",OR(U337="新加算Ⅰ",U337="新加算Ⅴ（１）",U337="新加算Ⅴ（２）",U337="新加算Ⅴ（５）",U337="新加算Ⅴ（７）",U337="新加算Ⅴ（10）")),IF(AN337="","未入力",IF(AN337="いずれも取得していない","要件を満たさない","")),"")</f>
        <v/>
      </c>
      <c r="BE337" s="1303" t="str">
        <f>G334</f>
        <v/>
      </c>
      <c r="BF337" s="1303"/>
      <c r="BG337" s="1303"/>
    </row>
    <row r="338" spans="1:59" ht="30" customHeight="1">
      <c r="A338" s="1293">
        <v>82</v>
      </c>
      <c r="B338" s="1235" t="str">
        <f>IF(基本情報入力シート!C135="","",基本情報入力シート!C135)</f>
        <v/>
      </c>
      <c r="C338" s="1236"/>
      <c r="D338" s="1236"/>
      <c r="E338" s="1236"/>
      <c r="F338" s="1237"/>
      <c r="G338" s="1252" t="str">
        <f>IF(基本情報入力シート!M135="","",基本情報入力シート!M135)</f>
        <v/>
      </c>
      <c r="H338" s="1252" t="str">
        <f>IF(基本情報入力シート!R135="","",基本情報入力シート!R135)</f>
        <v/>
      </c>
      <c r="I338" s="1252" t="str">
        <f>IF(基本情報入力シート!W135="","",基本情報入力シート!W135)</f>
        <v/>
      </c>
      <c r="J338" s="1415" t="str">
        <f>IF(基本情報入力シート!X135="","",基本情報入力シート!X135)</f>
        <v/>
      </c>
      <c r="K338" s="1252" t="str">
        <f>IF(基本情報入力シート!Y135="","",基本情報入力シート!Y135)</f>
        <v/>
      </c>
      <c r="L338" s="1421" t="str">
        <f>IF(基本情報入力シート!AB135="","",基本情報入力シート!AB135)</f>
        <v/>
      </c>
      <c r="M338" s="550" t="str">
        <f>IF('別紙様式2-2（４・５月分）'!P257="","",'別紙様式2-2（４・５月分）'!P257)</f>
        <v/>
      </c>
      <c r="N338" s="1391" t="str">
        <f>IF(SUM('別紙様式2-2（４・５月分）'!Q257:Q259)=0,"",SUM('別紙様式2-2（４・５月分）'!Q257:Q259))</f>
        <v/>
      </c>
      <c r="O338" s="1395" t="str">
        <f>IFERROR(VLOOKUP('別紙様式2-2（４・５月分）'!AQ257,【参考】数式用!$AR$5:$AS$22,2,FALSE),"")</f>
        <v/>
      </c>
      <c r="P338" s="1396"/>
      <c r="Q338" s="1397"/>
      <c r="R338" s="1531" t="str">
        <f>IFERROR(VLOOKUP(K338,【参考】数式用!$A$5:$AB$37,MATCH(O338,【参考】数式用!$B$4:$AB$4,0)+1,0),"")</f>
        <v/>
      </c>
      <c r="S338" s="1403" t="s">
        <v>2102</v>
      </c>
      <c r="T338" s="1527" t="str">
        <f>IF('別紙様式2-3（６月以降分）'!T338="","",'別紙様式2-3（６月以降分）'!T338)</f>
        <v/>
      </c>
      <c r="U338" s="1529" t="str">
        <f>IFERROR(VLOOKUP(K338,【参考】数式用!$A$5:$AB$37,MATCH(T338,【参考】数式用!$B$4:$AB$4,0)+1,0),"")</f>
        <v/>
      </c>
      <c r="V338" s="1409" t="s">
        <v>15</v>
      </c>
      <c r="W338" s="1525">
        <f>'別紙様式2-3（６月以降分）'!W338</f>
        <v>6</v>
      </c>
      <c r="X338" s="1349" t="s">
        <v>10</v>
      </c>
      <c r="Y338" s="1525">
        <f>'別紙様式2-3（６月以降分）'!Y338</f>
        <v>6</v>
      </c>
      <c r="Z338" s="1349" t="s">
        <v>38</v>
      </c>
      <c r="AA338" s="1525">
        <f>'別紙様式2-3（６月以降分）'!AA338</f>
        <v>7</v>
      </c>
      <c r="AB338" s="1349" t="s">
        <v>10</v>
      </c>
      <c r="AC338" s="1525">
        <f>'別紙様式2-3（６月以降分）'!AC338</f>
        <v>3</v>
      </c>
      <c r="AD338" s="1349" t="s">
        <v>2020</v>
      </c>
      <c r="AE338" s="1349" t="s">
        <v>20</v>
      </c>
      <c r="AF338" s="1349">
        <f>IF(W338&gt;=1,(AA338*12+AC338)-(W338*12+Y338)+1,"")</f>
        <v>10</v>
      </c>
      <c r="AG338" s="1351" t="s">
        <v>33</v>
      </c>
      <c r="AH338" s="1517" t="str">
        <f>'別紙様式2-3（６月以降分）'!AH338</f>
        <v/>
      </c>
      <c r="AI338" s="1519" t="str">
        <f>'別紙様式2-3（６月以降分）'!AI338</f>
        <v/>
      </c>
      <c r="AJ338" s="1521">
        <f>'別紙様式2-3（６月以降分）'!AJ338</f>
        <v>0</v>
      </c>
      <c r="AK338" s="1523" t="str">
        <f>IF('別紙様式2-3（６月以降分）'!AK338="","",'別紙様式2-3（６月以降分）'!AK338)</f>
        <v/>
      </c>
      <c r="AL338" s="1512">
        <f>'別紙様式2-3（６月以降分）'!AL338</f>
        <v>0</v>
      </c>
      <c r="AM338" s="1514" t="str">
        <f>IF('別紙様式2-3（６月以降分）'!AM338="","",'別紙様式2-3（６月以降分）'!AM338)</f>
        <v/>
      </c>
      <c r="AN338" s="1333" t="str">
        <f>IF('別紙様式2-3（６月以降分）'!AN338="","",'別紙様式2-3（６月以降分）'!AN338)</f>
        <v/>
      </c>
      <c r="AO338" s="1331" t="str">
        <f>IF('別紙様式2-3（６月以降分）'!AO338="","",'別紙様式2-3（６月以降分）'!AO338)</f>
        <v/>
      </c>
      <c r="AP338" s="1333" t="str">
        <f>IF('別紙様式2-3（６月以降分）'!AP338="","",'別紙様式2-3（６月以降分）'!AP338)</f>
        <v/>
      </c>
      <c r="AQ338" s="1481" t="str">
        <f>IF('別紙様式2-3（６月以降分）'!AQ338="","",'別紙様式2-3（６月以降分）'!AQ338)</f>
        <v/>
      </c>
      <c r="AR338" s="1484" t="str">
        <f>IF('別紙様式2-3（６月以降分）'!AR338="","",'別紙様式2-3（６月以降分）'!AR338)</f>
        <v/>
      </c>
      <c r="AS338" s="570" t="str">
        <f t="shared" ref="AS338" si="560">IF(AU340="","",IF(U340&lt;U338,"！加算の要件上は問題ありませんが、令和６年度当初の新加算の加算率と比較して、移行後の加算率が下がる計画になっています。",""))</f>
        <v/>
      </c>
      <c r="AT338" s="577"/>
      <c r="AU338" s="1301"/>
      <c r="AV338" s="555" t="str">
        <f>IF('別紙様式2-2（４・５月分）'!N257="","",'別紙様式2-2（４・５月分）'!N257)</f>
        <v/>
      </c>
      <c r="AW338" s="1305" t="str">
        <f>IF(SUM('別紙様式2-2（４・５月分）'!O257:O259)=0,"",SUM('別紙様式2-2（４・５月分）'!O257:O259))</f>
        <v/>
      </c>
      <c r="AX338" s="1473" t="str">
        <f>IFERROR(VLOOKUP(K338,【参考】数式用!$AH$2:$AI$34,2,FALSE),"")</f>
        <v/>
      </c>
      <c r="AY338" s="493"/>
      <c r="BD338" s="340"/>
      <c r="BE338" s="1303" t="str">
        <f>G338</f>
        <v/>
      </c>
      <c r="BF338" s="1303"/>
      <c r="BG338" s="1303"/>
    </row>
    <row r="339" spans="1:59" ht="15" customHeight="1">
      <c r="A339" s="1267"/>
      <c r="B339" s="1235"/>
      <c r="C339" s="1236"/>
      <c r="D339" s="1236"/>
      <c r="E339" s="1236"/>
      <c r="F339" s="1237"/>
      <c r="G339" s="1252"/>
      <c r="H339" s="1252"/>
      <c r="I339" s="1252"/>
      <c r="J339" s="1415"/>
      <c r="K339" s="1252"/>
      <c r="L339" s="1421"/>
      <c r="M339" s="1371" t="str">
        <f>IF('別紙様式2-2（４・５月分）'!P258="","",'別紙様式2-2（４・５月分）'!P258)</f>
        <v/>
      </c>
      <c r="N339" s="1392"/>
      <c r="O339" s="1398"/>
      <c r="P339" s="1399"/>
      <c r="Q339" s="1400"/>
      <c r="R339" s="1532"/>
      <c r="S339" s="1404"/>
      <c r="T339" s="1528"/>
      <c r="U339" s="1530"/>
      <c r="V339" s="1410"/>
      <c r="W339" s="1526"/>
      <c r="X339" s="1350"/>
      <c r="Y339" s="1526"/>
      <c r="Z339" s="1350"/>
      <c r="AA339" s="1526"/>
      <c r="AB339" s="1350"/>
      <c r="AC339" s="1526"/>
      <c r="AD339" s="1350"/>
      <c r="AE339" s="1350"/>
      <c r="AF339" s="1350"/>
      <c r="AG339" s="1352"/>
      <c r="AH339" s="1518"/>
      <c r="AI339" s="1520"/>
      <c r="AJ339" s="1522"/>
      <c r="AK339" s="1524"/>
      <c r="AL339" s="1513"/>
      <c r="AM339" s="1515"/>
      <c r="AN339" s="1334"/>
      <c r="AO339" s="1516"/>
      <c r="AP339" s="1334"/>
      <c r="AQ339" s="1482"/>
      <c r="AR339" s="1485"/>
      <c r="AS339" s="1483" t="str">
        <f t="shared" ref="AS339" si="561">IF(AU340="","",IF(OR(AA340="",AA340&lt;&gt;7,AC340="",AC340&lt;&gt;3),"！算定期間の終わりが令和７年３月になっていません。年度内の廃止予定等がなければ、算定対象月を令和７年３月にしてください。",""))</f>
        <v/>
      </c>
      <c r="AT339" s="577"/>
      <c r="AU339" s="1303"/>
      <c r="AV339" s="1304" t="str">
        <f>IF('別紙様式2-2（４・５月分）'!N258="","",'別紙様式2-2（４・５月分）'!N258)</f>
        <v/>
      </c>
      <c r="AW339" s="1305"/>
      <c r="AX339" s="1474"/>
      <c r="AY339" s="430"/>
      <c r="BD339" s="340"/>
      <c r="BE339" s="1303" t="str">
        <f>G338</f>
        <v/>
      </c>
      <c r="BF339" s="1303"/>
      <c r="BG339" s="1303"/>
    </row>
    <row r="340" spans="1:59" ht="15" customHeight="1">
      <c r="A340" s="1295"/>
      <c r="B340" s="1235"/>
      <c r="C340" s="1236"/>
      <c r="D340" s="1236"/>
      <c r="E340" s="1236"/>
      <c r="F340" s="1237"/>
      <c r="G340" s="1252"/>
      <c r="H340" s="1252"/>
      <c r="I340" s="1252"/>
      <c r="J340" s="1415"/>
      <c r="K340" s="1252"/>
      <c r="L340" s="1421"/>
      <c r="M340" s="1372"/>
      <c r="N340" s="1393"/>
      <c r="O340" s="1373" t="s">
        <v>2025</v>
      </c>
      <c r="P340" s="1425" t="str">
        <f>IFERROR(VLOOKUP('別紙様式2-2（４・５月分）'!AQ257,【参考】数式用!$AR$5:$AT$22,3,FALSE),"")</f>
        <v/>
      </c>
      <c r="Q340" s="1377" t="s">
        <v>2036</v>
      </c>
      <c r="R340" s="1508" t="str">
        <f>IFERROR(VLOOKUP(K338,【参考】数式用!$A$5:$AB$37,MATCH(P340,【参考】数式用!$B$4:$AB$4,0)+1,0),"")</f>
        <v/>
      </c>
      <c r="S340" s="1381" t="s">
        <v>2109</v>
      </c>
      <c r="T340" s="1510"/>
      <c r="U340" s="1506" t="str">
        <f>IFERROR(VLOOKUP(K338,【参考】数式用!$A$5:$AB$37,MATCH(T340,【参考】数式用!$B$4:$AB$4,0)+1,0),"")</f>
        <v/>
      </c>
      <c r="V340" s="1387" t="s">
        <v>15</v>
      </c>
      <c r="W340" s="1504"/>
      <c r="X340" s="1363" t="s">
        <v>10</v>
      </c>
      <c r="Y340" s="1504"/>
      <c r="Z340" s="1363" t="s">
        <v>38</v>
      </c>
      <c r="AA340" s="1504"/>
      <c r="AB340" s="1363" t="s">
        <v>10</v>
      </c>
      <c r="AC340" s="1504"/>
      <c r="AD340" s="1363" t="s">
        <v>2020</v>
      </c>
      <c r="AE340" s="1363" t="s">
        <v>20</v>
      </c>
      <c r="AF340" s="1363" t="str">
        <f>IF(W340&gt;=1,(AA340*12+AC340)-(W340*12+Y340)+1,"")</f>
        <v/>
      </c>
      <c r="AG340" s="1359" t="s">
        <v>33</v>
      </c>
      <c r="AH340" s="1365" t="str">
        <f t="shared" ref="AH340" si="562">IFERROR(ROUNDDOWN(ROUND(L338*U340,0),0)*AF340,"")</f>
        <v/>
      </c>
      <c r="AI340" s="1498" t="str">
        <f t="shared" ref="AI340" si="563">IFERROR(ROUNDDOWN(ROUND((L338*(U340-AW338)),0),0)*AF340,"")</f>
        <v/>
      </c>
      <c r="AJ340" s="1369" t="str">
        <f>IFERROR(ROUNDDOWN(ROUNDDOWN(ROUND(L338*VLOOKUP(K338,【参考】数式用!$A$5:$AB$27,MATCH("新加算Ⅳ",【参考】数式用!$B$4:$AB$4,0)+1,0),0),0)*AF340*0.5,0),"")</f>
        <v/>
      </c>
      <c r="AK340" s="1500"/>
      <c r="AL340" s="1502" t="str">
        <f>IFERROR(IF('別紙様式2-2（４・５月分）'!P340="ベア加算","", IF(OR(T340="新加算Ⅰ",T340="新加算Ⅱ",T340="新加算Ⅲ",T340="新加算Ⅳ"),ROUNDDOWN(ROUND(L338*VLOOKUP(K338,【参考】数式用!$A$5:$I$27,MATCH("ベア加算",【参考】数式用!$B$4:$I$4,0)+1,0),0),0)*AF340,"")),"")</f>
        <v/>
      </c>
      <c r="AM340" s="1494"/>
      <c r="AN340" s="1475"/>
      <c r="AO340" s="1496"/>
      <c r="AP340" s="1475"/>
      <c r="AQ340" s="1477"/>
      <c r="AR340" s="1479"/>
      <c r="AS340" s="1483"/>
      <c r="AT340" s="451"/>
      <c r="AU340" s="1303" t="str">
        <f>IF(AND(AA338&lt;&gt;7,AC338&lt;&gt;3),"V列に色付け","")</f>
        <v/>
      </c>
      <c r="AV340" s="1304"/>
      <c r="AW340" s="1305"/>
      <c r="AX340" s="574"/>
      <c r="AY340" s="1222" t="str">
        <f>IF(AL340&lt;&gt;"",IF(AM340="○","入力済","未入力"),"")</f>
        <v/>
      </c>
      <c r="AZ340" s="1222"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2" t="str">
        <f>IF(OR(T340="新加算Ⅴ（７）",T340="新加算Ⅴ（９）",T340="新加算Ⅴ（10）",T340="新加算Ⅴ（12）",T340="新加算Ⅴ（13）",T340="新加算Ⅴ（14）"),IF(OR(AO340="○",AO340="令和６年度中に満たす"),"入力済","未入力"),"")</f>
        <v/>
      </c>
      <c r="BB340" s="1222" t="str">
        <f>IF(OR(T340="新加算Ⅰ",T340="新加算Ⅱ",T340="新加算Ⅲ",T340="新加算Ⅴ（１）",T340="新加算Ⅴ（３）",T340="新加算Ⅴ（８）"),IF(OR(AP340="○",AP340="令和６年度中に満たす"),"入力済","未入力"),"")</f>
        <v/>
      </c>
      <c r="BC340" s="1472"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03" t="str">
        <f>IF(OR(T340="新加算Ⅰ",T340="新加算Ⅴ（１）",T340="新加算Ⅴ（２）",T340="新加算Ⅴ（５）",T340="新加算Ⅴ（７）",T340="新加算Ⅴ（10）"),IF(AR340="","未入力","入力済"),"")</f>
        <v/>
      </c>
      <c r="BE340" s="1303" t="str">
        <f>G338</f>
        <v/>
      </c>
      <c r="BF340" s="1303"/>
      <c r="BG340" s="1303"/>
    </row>
    <row r="341" spans="1:59" ht="30" customHeight="1" thickBot="1">
      <c r="A341" s="1268"/>
      <c r="B341" s="1411"/>
      <c r="C341" s="1412"/>
      <c r="D341" s="1412"/>
      <c r="E341" s="1412"/>
      <c r="F341" s="1413"/>
      <c r="G341" s="1253"/>
      <c r="H341" s="1253"/>
      <c r="I341" s="1253"/>
      <c r="J341" s="1416"/>
      <c r="K341" s="1253"/>
      <c r="L341" s="1422"/>
      <c r="M341" s="553" t="str">
        <f>IF('別紙様式2-2（４・５月分）'!P259="","",'別紙様式2-2（４・５月分）'!P259)</f>
        <v/>
      </c>
      <c r="N341" s="1394"/>
      <c r="O341" s="1374"/>
      <c r="P341" s="1426"/>
      <c r="Q341" s="1378"/>
      <c r="R341" s="1509"/>
      <c r="S341" s="1382"/>
      <c r="T341" s="1511"/>
      <c r="U341" s="1507"/>
      <c r="V341" s="1388"/>
      <c r="W341" s="1505"/>
      <c r="X341" s="1364"/>
      <c r="Y341" s="1505"/>
      <c r="Z341" s="1364"/>
      <c r="AA341" s="1505"/>
      <c r="AB341" s="1364"/>
      <c r="AC341" s="1505"/>
      <c r="AD341" s="1364"/>
      <c r="AE341" s="1364"/>
      <c r="AF341" s="1364"/>
      <c r="AG341" s="1360"/>
      <c r="AH341" s="1366"/>
      <c r="AI341" s="1499"/>
      <c r="AJ341" s="1370"/>
      <c r="AK341" s="1501"/>
      <c r="AL341" s="1503"/>
      <c r="AM341" s="1495"/>
      <c r="AN341" s="1476"/>
      <c r="AO341" s="1497"/>
      <c r="AP341" s="1476"/>
      <c r="AQ341" s="1478"/>
      <c r="AR341" s="1480"/>
      <c r="AS341" s="575"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1"/>
      <c r="AU341" s="1303"/>
      <c r="AV341" s="555" t="str">
        <f>IF('別紙様式2-2（４・５月分）'!N259="","",'別紙様式2-2（４・５月分）'!N259)</f>
        <v/>
      </c>
      <c r="AW341" s="1305"/>
      <c r="AX341" s="576"/>
      <c r="AY341" s="1222" t="str">
        <f>IF(OR(T341="新加算Ⅰ",T341="新加算Ⅱ",T341="新加算Ⅲ",T341="新加算Ⅳ",T341="新加算Ⅴ（１）",T341="新加算Ⅴ（２）",T341="新加算Ⅴ（３）",T341="新加算ⅠⅤ（４）",T341="新加算Ⅴ（５）",T341="新加算Ⅴ（６）",T341="新加算Ⅴ（８）",T341="新加算Ⅴ（11）"),IF(AI341="○","","未入力"),"")</f>
        <v/>
      </c>
      <c r="AZ341" s="1222" t="str">
        <f>IF(OR(U341="新加算Ⅰ",U341="新加算Ⅱ",U341="新加算Ⅲ",U341="新加算Ⅳ",U341="新加算Ⅴ（１）",U341="新加算Ⅴ（２）",U341="新加算Ⅴ（３）",U341="新加算ⅠⅤ（４）",U341="新加算Ⅴ（５）",U341="新加算Ⅴ（６）",U341="新加算Ⅴ（８）",U341="新加算Ⅴ（11）"),IF(AJ341="○","","未入力"),"")</f>
        <v/>
      </c>
      <c r="BA341" s="1222" t="str">
        <f>IF(OR(U341="新加算Ⅴ（７）",U341="新加算Ⅴ（９）",U341="新加算Ⅴ（10）",U341="新加算Ⅴ（12）",U341="新加算Ⅴ（13）",U341="新加算Ⅴ（14）"),IF(AK341="○","","未入力"),"")</f>
        <v/>
      </c>
      <c r="BB341" s="1222" t="str">
        <f>IF(OR(U341="新加算Ⅰ",U341="新加算Ⅱ",U341="新加算Ⅲ",U341="新加算Ⅴ（１）",U341="新加算Ⅴ（３）",U341="新加算Ⅴ（８）"),IF(AL341="○","","未入力"),"")</f>
        <v/>
      </c>
      <c r="BC341" s="1472"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03" t="str">
        <f>IF(AND(T341&lt;&gt;"（参考）令和７年度の移行予定",OR(U341="新加算Ⅰ",U341="新加算Ⅴ（１）",U341="新加算Ⅴ（２）",U341="新加算Ⅴ（５）",U341="新加算Ⅴ（７）",U341="新加算Ⅴ（10）")),IF(AN341="","未入力",IF(AN341="いずれも取得していない","要件を満たさない","")),"")</f>
        <v/>
      </c>
      <c r="BE341" s="1303" t="str">
        <f>G338</f>
        <v/>
      </c>
      <c r="BF341" s="1303"/>
      <c r="BG341" s="1303"/>
    </row>
    <row r="342" spans="1:59" ht="30" customHeight="1">
      <c r="A342" s="1266">
        <v>83</v>
      </c>
      <c r="B342" s="1232" t="str">
        <f>IF(基本情報入力シート!C136="","",基本情報入力シート!C136)</f>
        <v/>
      </c>
      <c r="C342" s="1233"/>
      <c r="D342" s="1233"/>
      <c r="E342" s="1233"/>
      <c r="F342" s="1234"/>
      <c r="G342" s="1251" t="str">
        <f>IF(基本情報入力シート!M136="","",基本情報入力シート!M136)</f>
        <v/>
      </c>
      <c r="H342" s="1251" t="str">
        <f>IF(基本情報入力シート!R136="","",基本情報入力シート!R136)</f>
        <v/>
      </c>
      <c r="I342" s="1251" t="str">
        <f>IF(基本情報入力シート!W136="","",基本情報入力シート!W136)</f>
        <v/>
      </c>
      <c r="J342" s="1414" t="str">
        <f>IF(基本情報入力シート!X136="","",基本情報入力シート!X136)</f>
        <v/>
      </c>
      <c r="K342" s="1251" t="str">
        <f>IF(基本情報入力シート!Y136="","",基本情報入力シート!Y136)</f>
        <v/>
      </c>
      <c r="L342" s="1427" t="str">
        <f>IF(基本情報入力シート!AB136="","",基本情報入力シート!AB136)</f>
        <v/>
      </c>
      <c r="M342" s="550" t="str">
        <f>IF('別紙様式2-2（４・５月分）'!P260="","",'別紙様式2-2（４・５月分）'!P260)</f>
        <v/>
      </c>
      <c r="N342" s="1391" t="str">
        <f>IF(SUM('別紙様式2-2（４・５月分）'!Q260:Q262)=0,"",SUM('別紙様式2-2（４・５月分）'!Q260:Q262))</f>
        <v/>
      </c>
      <c r="O342" s="1395" t="str">
        <f>IFERROR(VLOOKUP('別紙様式2-2（４・５月分）'!AQ260,【参考】数式用!$AR$5:$AS$22,2,FALSE),"")</f>
        <v/>
      </c>
      <c r="P342" s="1396"/>
      <c r="Q342" s="1397"/>
      <c r="R342" s="1531" t="str">
        <f>IFERROR(VLOOKUP(K342,【参考】数式用!$A$5:$AB$37,MATCH(O342,【参考】数式用!$B$4:$AB$4,0)+1,0),"")</f>
        <v/>
      </c>
      <c r="S342" s="1403" t="s">
        <v>2102</v>
      </c>
      <c r="T342" s="1527" t="str">
        <f>IF('別紙様式2-3（６月以降分）'!T342="","",'別紙様式2-3（６月以降分）'!T342)</f>
        <v/>
      </c>
      <c r="U342" s="1529" t="str">
        <f>IFERROR(VLOOKUP(K342,【参考】数式用!$A$5:$AB$37,MATCH(T342,【参考】数式用!$B$4:$AB$4,0)+1,0),"")</f>
        <v/>
      </c>
      <c r="V342" s="1409" t="s">
        <v>15</v>
      </c>
      <c r="W342" s="1525">
        <f>'別紙様式2-3（６月以降分）'!W342</f>
        <v>6</v>
      </c>
      <c r="X342" s="1349" t="s">
        <v>10</v>
      </c>
      <c r="Y342" s="1525">
        <f>'別紙様式2-3（６月以降分）'!Y342</f>
        <v>6</v>
      </c>
      <c r="Z342" s="1349" t="s">
        <v>38</v>
      </c>
      <c r="AA342" s="1525">
        <f>'別紙様式2-3（６月以降分）'!AA342</f>
        <v>7</v>
      </c>
      <c r="AB342" s="1349" t="s">
        <v>10</v>
      </c>
      <c r="AC342" s="1525">
        <f>'別紙様式2-3（６月以降分）'!AC342</f>
        <v>3</v>
      </c>
      <c r="AD342" s="1349" t="s">
        <v>2020</v>
      </c>
      <c r="AE342" s="1349" t="s">
        <v>20</v>
      </c>
      <c r="AF342" s="1349">
        <f>IF(W342&gt;=1,(AA342*12+AC342)-(W342*12+Y342)+1,"")</f>
        <v>10</v>
      </c>
      <c r="AG342" s="1351" t="s">
        <v>33</v>
      </c>
      <c r="AH342" s="1517" t="str">
        <f>'別紙様式2-3（６月以降分）'!AH342</f>
        <v/>
      </c>
      <c r="AI342" s="1519" t="str">
        <f>'別紙様式2-3（６月以降分）'!AI342</f>
        <v/>
      </c>
      <c r="AJ342" s="1521">
        <f>'別紙様式2-3（６月以降分）'!AJ342</f>
        <v>0</v>
      </c>
      <c r="AK342" s="1523" t="str">
        <f>IF('別紙様式2-3（６月以降分）'!AK342="","",'別紙様式2-3（６月以降分）'!AK342)</f>
        <v/>
      </c>
      <c r="AL342" s="1512">
        <f>'別紙様式2-3（６月以降分）'!AL342</f>
        <v>0</v>
      </c>
      <c r="AM342" s="1514" t="str">
        <f>IF('別紙様式2-3（６月以降分）'!AM342="","",'別紙様式2-3（６月以降分）'!AM342)</f>
        <v/>
      </c>
      <c r="AN342" s="1333" t="str">
        <f>IF('別紙様式2-3（６月以降分）'!AN342="","",'別紙様式2-3（６月以降分）'!AN342)</f>
        <v/>
      </c>
      <c r="AO342" s="1331" t="str">
        <f>IF('別紙様式2-3（６月以降分）'!AO342="","",'別紙様式2-3（６月以降分）'!AO342)</f>
        <v/>
      </c>
      <c r="AP342" s="1333" t="str">
        <f>IF('別紙様式2-3（６月以降分）'!AP342="","",'別紙様式2-3（６月以降分）'!AP342)</f>
        <v/>
      </c>
      <c r="AQ342" s="1481" t="str">
        <f>IF('別紙様式2-3（６月以降分）'!AQ342="","",'別紙様式2-3（６月以降分）'!AQ342)</f>
        <v/>
      </c>
      <c r="AR342" s="1484" t="str">
        <f>IF('別紙様式2-3（６月以降分）'!AR342="","",'別紙様式2-3（６月以降分）'!AR342)</f>
        <v/>
      </c>
      <c r="AS342" s="570" t="str">
        <f t="shared" ref="AS342" si="567">IF(AU344="","",IF(U344&lt;U342,"！加算の要件上は問題ありませんが、令和６年度当初の新加算の加算率と比較して、移行後の加算率が下がる計画になっています。",""))</f>
        <v/>
      </c>
      <c r="AT342" s="577"/>
      <c r="AU342" s="1301"/>
      <c r="AV342" s="555" t="str">
        <f>IF('別紙様式2-2（４・５月分）'!N260="","",'別紙様式2-2（４・５月分）'!N260)</f>
        <v/>
      </c>
      <c r="AW342" s="1305" t="str">
        <f>IF(SUM('別紙様式2-2（４・５月分）'!O260:O262)=0,"",SUM('別紙様式2-2（４・５月分）'!O260:O262))</f>
        <v/>
      </c>
      <c r="AX342" s="1473" t="str">
        <f>IFERROR(VLOOKUP(K342,【参考】数式用!$AH$2:$AI$34,2,FALSE),"")</f>
        <v/>
      </c>
      <c r="AY342" s="493"/>
      <c r="BD342" s="340"/>
      <c r="BE342" s="1303" t="str">
        <f>G342</f>
        <v/>
      </c>
      <c r="BF342" s="1303"/>
      <c r="BG342" s="1303"/>
    </row>
    <row r="343" spans="1:59" ht="15" customHeight="1">
      <c r="A343" s="1267"/>
      <c r="B343" s="1235"/>
      <c r="C343" s="1236"/>
      <c r="D343" s="1236"/>
      <c r="E343" s="1236"/>
      <c r="F343" s="1237"/>
      <c r="G343" s="1252"/>
      <c r="H343" s="1252"/>
      <c r="I343" s="1252"/>
      <c r="J343" s="1415"/>
      <c r="K343" s="1252"/>
      <c r="L343" s="1421"/>
      <c r="M343" s="1371" t="str">
        <f>IF('別紙様式2-2（４・５月分）'!P261="","",'別紙様式2-2（４・５月分）'!P261)</f>
        <v/>
      </c>
      <c r="N343" s="1392"/>
      <c r="O343" s="1398"/>
      <c r="P343" s="1399"/>
      <c r="Q343" s="1400"/>
      <c r="R343" s="1532"/>
      <c r="S343" s="1404"/>
      <c r="T343" s="1528"/>
      <c r="U343" s="1530"/>
      <c r="V343" s="1410"/>
      <c r="W343" s="1526"/>
      <c r="X343" s="1350"/>
      <c r="Y343" s="1526"/>
      <c r="Z343" s="1350"/>
      <c r="AA343" s="1526"/>
      <c r="AB343" s="1350"/>
      <c r="AC343" s="1526"/>
      <c r="AD343" s="1350"/>
      <c r="AE343" s="1350"/>
      <c r="AF343" s="1350"/>
      <c r="AG343" s="1352"/>
      <c r="AH343" s="1518"/>
      <c r="AI343" s="1520"/>
      <c r="AJ343" s="1522"/>
      <c r="AK343" s="1524"/>
      <c r="AL343" s="1513"/>
      <c r="AM343" s="1515"/>
      <c r="AN343" s="1334"/>
      <c r="AO343" s="1516"/>
      <c r="AP343" s="1334"/>
      <c r="AQ343" s="1482"/>
      <c r="AR343" s="1485"/>
      <c r="AS343" s="1483" t="str">
        <f t="shared" ref="AS343" si="568">IF(AU344="","",IF(OR(AA344="",AA344&lt;&gt;7,AC344="",AC344&lt;&gt;3),"！算定期間の終わりが令和７年３月になっていません。年度内の廃止予定等がなければ、算定対象月を令和７年３月にしてください。",""))</f>
        <v/>
      </c>
      <c r="AT343" s="577"/>
      <c r="AU343" s="1303"/>
      <c r="AV343" s="1304" t="str">
        <f>IF('別紙様式2-2（４・５月分）'!N261="","",'別紙様式2-2（４・５月分）'!N261)</f>
        <v/>
      </c>
      <c r="AW343" s="1305"/>
      <c r="AX343" s="1474"/>
      <c r="AY343" s="430"/>
      <c r="BD343" s="340"/>
      <c r="BE343" s="1303" t="str">
        <f>G342</f>
        <v/>
      </c>
      <c r="BF343" s="1303"/>
      <c r="BG343" s="1303"/>
    </row>
    <row r="344" spans="1:59" ht="15" customHeight="1">
      <c r="A344" s="1295"/>
      <c r="B344" s="1235"/>
      <c r="C344" s="1236"/>
      <c r="D344" s="1236"/>
      <c r="E344" s="1236"/>
      <c r="F344" s="1237"/>
      <c r="G344" s="1252"/>
      <c r="H344" s="1252"/>
      <c r="I344" s="1252"/>
      <c r="J344" s="1415"/>
      <c r="K344" s="1252"/>
      <c r="L344" s="1421"/>
      <c r="M344" s="1372"/>
      <c r="N344" s="1393"/>
      <c r="O344" s="1373" t="s">
        <v>2025</v>
      </c>
      <c r="P344" s="1425" t="str">
        <f>IFERROR(VLOOKUP('別紙様式2-2（４・５月分）'!AQ260,【参考】数式用!$AR$5:$AT$22,3,FALSE),"")</f>
        <v/>
      </c>
      <c r="Q344" s="1377" t="s">
        <v>2036</v>
      </c>
      <c r="R344" s="1508" t="str">
        <f>IFERROR(VLOOKUP(K342,【参考】数式用!$A$5:$AB$37,MATCH(P344,【参考】数式用!$B$4:$AB$4,0)+1,0),"")</f>
        <v/>
      </c>
      <c r="S344" s="1381" t="s">
        <v>2109</v>
      </c>
      <c r="T344" s="1510"/>
      <c r="U344" s="1506" t="str">
        <f>IFERROR(VLOOKUP(K342,【参考】数式用!$A$5:$AB$37,MATCH(T344,【参考】数式用!$B$4:$AB$4,0)+1,0),"")</f>
        <v/>
      </c>
      <c r="V344" s="1387" t="s">
        <v>15</v>
      </c>
      <c r="W344" s="1504"/>
      <c r="X344" s="1363" t="s">
        <v>10</v>
      </c>
      <c r="Y344" s="1504"/>
      <c r="Z344" s="1363" t="s">
        <v>38</v>
      </c>
      <c r="AA344" s="1504"/>
      <c r="AB344" s="1363" t="s">
        <v>10</v>
      </c>
      <c r="AC344" s="1504"/>
      <c r="AD344" s="1363" t="s">
        <v>2020</v>
      </c>
      <c r="AE344" s="1363" t="s">
        <v>20</v>
      </c>
      <c r="AF344" s="1363" t="str">
        <f>IF(W344&gt;=1,(AA344*12+AC344)-(W344*12+Y344)+1,"")</f>
        <v/>
      </c>
      <c r="AG344" s="1359" t="s">
        <v>33</v>
      </c>
      <c r="AH344" s="1365" t="str">
        <f t="shared" ref="AH344" si="569">IFERROR(ROUNDDOWN(ROUND(L342*U344,0),0)*AF344,"")</f>
        <v/>
      </c>
      <c r="AI344" s="1498" t="str">
        <f t="shared" ref="AI344" si="570">IFERROR(ROUNDDOWN(ROUND((L342*(U344-AW342)),0),0)*AF344,"")</f>
        <v/>
      </c>
      <c r="AJ344" s="1369" t="str">
        <f>IFERROR(ROUNDDOWN(ROUNDDOWN(ROUND(L342*VLOOKUP(K342,【参考】数式用!$A$5:$AB$27,MATCH("新加算Ⅳ",【参考】数式用!$B$4:$AB$4,0)+1,0),0),0)*AF344*0.5,0),"")</f>
        <v/>
      </c>
      <c r="AK344" s="1500"/>
      <c r="AL344" s="1502" t="str">
        <f>IFERROR(IF('別紙様式2-2（４・５月分）'!P344="ベア加算","", IF(OR(T344="新加算Ⅰ",T344="新加算Ⅱ",T344="新加算Ⅲ",T344="新加算Ⅳ"),ROUNDDOWN(ROUND(L342*VLOOKUP(K342,【参考】数式用!$A$5:$I$27,MATCH("ベア加算",【参考】数式用!$B$4:$I$4,0)+1,0),0),0)*AF344,"")),"")</f>
        <v/>
      </c>
      <c r="AM344" s="1494"/>
      <c r="AN344" s="1475"/>
      <c r="AO344" s="1496"/>
      <c r="AP344" s="1475"/>
      <c r="AQ344" s="1477"/>
      <c r="AR344" s="1479"/>
      <c r="AS344" s="1483"/>
      <c r="AT344" s="451"/>
      <c r="AU344" s="1303" t="str">
        <f>IF(AND(AA342&lt;&gt;7,AC342&lt;&gt;3),"V列に色付け","")</f>
        <v/>
      </c>
      <c r="AV344" s="1304"/>
      <c r="AW344" s="1305"/>
      <c r="AX344" s="574"/>
      <c r="AY344" s="1222" t="str">
        <f>IF(AL344&lt;&gt;"",IF(AM344="○","入力済","未入力"),"")</f>
        <v/>
      </c>
      <c r="AZ344" s="1222"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2" t="str">
        <f>IF(OR(T344="新加算Ⅴ（７）",T344="新加算Ⅴ（９）",T344="新加算Ⅴ（10）",T344="新加算Ⅴ（12）",T344="新加算Ⅴ（13）",T344="新加算Ⅴ（14）"),IF(OR(AO344="○",AO344="令和６年度中に満たす"),"入力済","未入力"),"")</f>
        <v/>
      </c>
      <c r="BB344" s="1222" t="str">
        <f>IF(OR(T344="新加算Ⅰ",T344="新加算Ⅱ",T344="新加算Ⅲ",T344="新加算Ⅴ（１）",T344="新加算Ⅴ（３）",T344="新加算Ⅴ（８）"),IF(OR(AP344="○",AP344="令和６年度中に満たす"),"入力済","未入力"),"")</f>
        <v/>
      </c>
      <c r="BC344" s="1472"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03" t="str">
        <f>IF(OR(T344="新加算Ⅰ",T344="新加算Ⅴ（１）",T344="新加算Ⅴ（２）",T344="新加算Ⅴ（５）",T344="新加算Ⅴ（７）",T344="新加算Ⅴ（10）"),IF(AR344="","未入力","入力済"),"")</f>
        <v/>
      </c>
      <c r="BE344" s="1303" t="str">
        <f>G342</f>
        <v/>
      </c>
      <c r="BF344" s="1303"/>
      <c r="BG344" s="1303"/>
    </row>
    <row r="345" spans="1:59" ht="30" customHeight="1" thickBot="1">
      <c r="A345" s="1268"/>
      <c r="B345" s="1411"/>
      <c r="C345" s="1412"/>
      <c r="D345" s="1412"/>
      <c r="E345" s="1412"/>
      <c r="F345" s="1413"/>
      <c r="G345" s="1253"/>
      <c r="H345" s="1253"/>
      <c r="I345" s="1253"/>
      <c r="J345" s="1416"/>
      <c r="K345" s="1253"/>
      <c r="L345" s="1422"/>
      <c r="M345" s="553" t="str">
        <f>IF('別紙様式2-2（４・５月分）'!P262="","",'別紙様式2-2（４・５月分）'!P262)</f>
        <v/>
      </c>
      <c r="N345" s="1394"/>
      <c r="O345" s="1374"/>
      <c r="P345" s="1426"/>
      <c r="Q345" s="1378"/>
      <c r="R345" s="1509"/>
      <c r="S345" s="1382"/>
      <c r="T345" s="1511"/>
      <c r="U345" s="1507"/>
      <c r="V345" s="1388"/>
      <c r="W345" s="1505"/>
      <c r="X345" s="1364"/>
      <c r="Y345" s="1505"/>
      <c r="Z345" s="1364"/>
      <c r="AA345" s="1505"/>
      <c r="AB345" s="1364"/>
      <c r="AC345" s="1505"/>
      <c r="AD345" s="1364"/>
      <c r="AE345" s="1364"/>
      <c r="AF345" s="1364"/>
      <c r="AG345" s="1360"/>
      <c r="AH345" s="1366"/>
      <c r="AI345" s="1499"/>
      <c r="AJ345" s="1370"/>
      <c r="AK345" s="1501"/>
      <c r="AL345" s="1503"/>
      <c r="AM345" s="1495"/>
      <c r="AN345" s="1476"/>
      <c r="AO345" s="1497"/>
      <c r="AP345" s="1476"/>
      <c r="AQ345" s="1478"/>
      <c r="AR345" s="1480"/>
      <c r="AS345" s="575"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1"/>
      <c r="AU345" s="1303"/>
      <c r="AV345" s="555" t="str">
        <f>IF('別紙様式2-2（４・５月分）'!N262="","",'別紙様式2-2（４・５月分）'!N262)</f>
        <v/>
      </c>
      <c r="AW345" s="1305"/>
      <c r="AX345" s="576"/>
      <c r="AY345" s="1222" t="str">
        <f>IF(OR(T345="新加算Ⅰ",T345="新加算Ⅱ",T345="新加算Ⅲ",T345="新加算Ⅳ",T345="新加算Ⅴ（１）",T345="新加算Ⅴ（２）",T345="新加算Ⅴ（３）",T345="新加算ⅠⅤ（４）",T345="新加算Ⅴ（５）",T345="新加算Ⅴ（６）",T345="新加算Ⅴ（８）",T345="新加算Ⅴ（11）"),IF(AI345="○","","未入力"),"")</f>
        <v/>
      </c>
      <c r="AZ345" s="1222" t="str">
        <f>IF(OR(U345="新加算Ⅰ",U345="新加算Ⅱ",U345="新加算Ⅲ",U345="新加算Ⅳ",U345="新加算Ⅴ（１）",U345="新加算Ⅴ（２）",U345="新加算Ⅴ（３）",U345="新加算ⅠⅤ（４）",U345="新加算Ⅴ（５）",U345="新加算Ⅴ（６）",U345="新加算Ⅴ（８）",U345="新加算Ⅴ（11）"),IF(AJ345="○","","未入力"),"")</f>
        <v/>
      </c>
      <c r="BA345" s="1222" t="str">
        <f>IF(OR(U345="新加算Ⅴ（７）",U345="新加算Ⅴ（９）",U345="新加算Ⅴ（10）",U345="新加算Ⅴ（12）",U345="新加算Ⅴ（13）",U345="新加算Ⅴ（14）"),IF(AK345="○","","未入力"),"")</f>
        <v/>
      </c>
      <c r="BB345" s="1222" t="str">
        <f>IF(OR(U345="新加算Ⅰ",U345="新加算Ⅱ",U345="新加算Ⅲ",U345="新加算Ⅴ（１）",U345="新加算Ⅴ（３）",U345="新加算Ⅴ（８）"),IF(AL345="○","","未入力"),"")</f>
        <v/>
      </c>
      <c r="BC345" s="1472"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03" t="str">
        <f>IF(AND(T345&lt;&gt;"（参考）令和７年度の移行予定",OR(U345="新加算Ⅰ",U345="新加算Ⅴ（１）",U345="新加算Ⅴ（２）",U345="新加算Ⅴ（５）",U345="新加算Ⅴ（７）",U345="新加算Ⅴ（10）")),IF(AN345="","未入力",IF(AN345="いずれも取得していない","要件を満たさない","")),"")</f>
        <v/>
      </c>
      <c r="BE345" s="1303" t="str">
        <f>G342</f>
        <v/>
      </c>
      <c r="BF345" s="1303"/>
      <c r="BG345" s="1303"/>
    </row>
    <row r="346" spans="1:59" ht="30" customHeight="1">
      <c r="A346" s="1293">
        <v>84</v>
      </c>
      <c r="B346" s="1235" t="str">
        <f>IF(基本情報入力シート!C137="","",基本情報入力シート!C137)</f>
        <v/>
      </c>
      <c r="C346" s="1236"/>
      <c r="D346" s="1236"/>
      <c r="E346" s="1236"/>
      <c r="F346" s="1237"/>
      <c r="G346" s="1252" t="str">
        <f>IF(基本情報入力シート!M137="","",基本情報入力シート!M137)</f>
        <v/>
      </c>
      <c r="H346" s="1252" t="str">
        <f>IF(基本情報入力シート!R137="","",基本情報入力シート!R137)</f>
        <v/>
      </c>
      <c r="I346" s="1252" t="str">
        <f>IF(基本情報入力シート!W137="","",基本情報入力シート!W137)</f>
        <v/>
      </c>
      <c r="J346" s="1415" t="str">
        <f>IF(基本情報入力シート!X137="","",基本情報入力シート!X137)</f>
        <v/>
      </c>
      <c r="K346" s="1252" t="str">
        <f>IF(基本情報入力シート!Y137="","",基本情報入力シート!Y137)</f>
        <v/>
      </c>
      <c r="L346" s="1421" t="str">
        <f>IF(基本情報入力シート!AB137="","",基本情報入力シート!AB137)</f>
        <v/>
      </c>
      <c r="M346" s="550" t="str">
        <f>IF('別紙様式2-2（４・５月分）'!P263="","",'別紙様式2-2（４・５月分）'!P263)</f>
        <v/>
      </c>
      <c r="N346" s="1391" t="str">
        <f>IF(SUM('別紙様式2-2（４・５月分）'!Q263:Q265)=0,"",SUM('別紙様式2-2（４・５月分）'!Q263:Q265))</f>
        <v/>
      </c>
      <c r="O346" s="1395" t="str">
        <f>IFERROR(VLOOKUP('別紙様式2-2（４・５月分）'!AQ263,【参考】数式用!$AR$5:$AS$22,2,FALSE),"")</f>
        <v/>
      </c>
      <c r="P346" s="1396"/>
      <c r="Q346" s="1397"/>
      <c r="R346" s="1531" t="str">
        <f>IFERROR(VLOOKUP(K346,【参考】数式用!$A$5:$AB$37,MATCH(O346,【参考】数式用!$B$4:$AB$4,0)+1,0),"")</f>
        <v/>
      </c>
      <c r="S346" s="1403" t="s">
        <v>2102</v>
      </c>
      <c r="T346" s="1527" t="str">
        <f>IF('別紙様式2-3（６月以降分）'!T346="","",'別紙様式2-3（６月以降分）'!T346)</f>
        <v/>
      </c>
      <c r="U346" s="1529" t="str">
        <f>IFERROR(VLOOKUP(K346,【参考】数式用!$A$5:$AB$37,MATCH(T346,【参考】数式用!$B$4:$AB$4,0)+1,0),"")</f>
        <v/>
      </c>
      <c r="V346" s="1409" t="s">
        <v>15</v>
      </c>
      <c r="W346" s="1525">
        <f>'別紙様式2-3（６月以降分）'!W346</f>
        <v>6</v>
      </c>
      <c r="X346" s="1349" t="s">
        <v>10</v>
      </c>
      <c r="Y346" s="1525">
        <f>'別紙様式2-3（６月以降分）'!Y346</f>
        <v>6</v>
      </c>
      <c r="Z346" s="1349" t="s">
        <v>38</v>
      </c>
      <c r="AA346" s="1525">
        <f>'別紙様式2-3（６月以降分）'!AA346</f>
        <v>7</v>
      </c>
      <c r="AB346" s="1349" t="s">
        <v>10</v>
      </c>
      <c r="AC346" s="1525">
        <f>'別紙様式2-3（６月以降分）'!AC346</f>
        <v>3</v>
      </c>
      <c r="AD346" s="1349" t="s">
        <v>2020</v>
      </c>
      <c r="AE346" s="1349" t="s">
        <v>20</v>
      </c>
      <c r="AF346" s="1349">
        <f>IF(W346&gt;=1,(AA346*12+AC346)-(W346*12+Y346)+1,"")</f>
        <v>10</v>
      </c>
      <c r="AG346" s="1351" t="s">
        <v>33</v>
      </c>
      <c r="AH346" s="1517" t="str">
        <f>'別紙様式2-3（６月以降分）'!AH346</f>
        <v/>
      </c>
      <c r="AI346" s="1519" t="str">
        <f>'別紙様式2-3（６月以降分）'!AI346</f>
        <v/>
      </c>
      <c r="AJ346" s="1521">
        <f>'別紙様式2-3（６月以降分）'!AJ346</f>
        <v>0</v>
      </c>
      <c r="AK346" s="1523" t="str">
        <f>IF('別紙様式2-3（６月以降分）'!AK346="","",'別紙様式2-3（６月以降分）'!AK346)</f>
        <v/>
      </c>
      <c r="AL346" s="1512">
        <f>'別紙様式2-3（６月以降分）'!AL346</f>
        <v>0</v>
      </c>
      <c r="AM346" s="1514" t="str">
        <f>IF('別紙様式2-3（６月以降分）'!AM346="","",'別紙様式2-3（６月以降分）'!AM346)</f>
        <v/>
      </c>
      <c r="AN346" s="1333" t="str">
        <f>IF('別紙様式2-3（６月以降分）'!AN346="","",'別紙様式2-3（６月以降分）'!AN346)</f>
        <v/>
      </c>
      <c r="AO346" s="1331" t="str">
        <f>IF('別紙様式2-3（６月以降分）'!AO346="","",'別紙様式2-3（６月以降分）'!AO346)</f>
        <v/>
      </c>
      <c r="AP346" s="1333" t="str">
        <f>IF('別紙様式2-3（６月以降分）'!AP346="","",'別紙様式2-3（６月以降分）'!AP346)</f>
        <v/>
      </c>
      <c r="AQ346" s="1481" t="str">
        <f>IF('別紙様式2-3（６月以降分）'!AQ346="","",'別紙様式2-3（６月以降分）'!AQ346)</f>
        <v/>
      </c>
      <c r="AR346" s="1484" t="str">
        <f>IF('別紙様式2-3（６月以降分）'!AR346="","",'別紙様式2-3（６月以降分）'!AR346)</f>
        <v/>
      </c>
      <c r="AS346" s="570" t="str">
        <f t="shared" ref="AS346" si="574">IF(AU348="","",IF(U348&lt;U346,"！加算の要件上は問題ありませんが、令和６年度当初の新加算の加算率と比較して、移行後の加算率が下がる計画になっています。",""))</f>
        <v/>
      </c>
      <c r="AT346" s="577"/>
      <c r="AU346" s="1301"/>
      <c r="AV346" s="555" t="str">
        <f>IF('別紙様式2-2（４・５月分）'!N263="","",'別紙様式2-2（４・５月分）'!N263)</f>
        <v/>
      </c>
      <c r="AW346" s="1305" t="str">
        <f>IF(SUM('別紙様式2-2（４・５月分）'!O263:O265)=0,"",SUM('別紙様式2-2（４・５月分）'!O263:O265))</f>
        <v/>
      </c>
      <c r="AX346" s="1473" t="str">
        <f>IFERROR(VLOOKUP(K346,【参考】数式用!$AH$2:$AI$34,2,FALSE),"")</f>
        <v/>
      </c>
      <c r="AY346" s="493"/>
      <c r="BD346" s="340"/>
      <c r="BE346" s="1303" t="str">
        <f>G346</f>
        <v/>
      </c>
      <c r="BF346" s="1303"/>
      <c r="BG346" s="1303"/>
    </row>
    <row r="347" spans="1:59" ht="15" customHeight="1">
      <c r="A347" s="1267"/>
      <c r="B347" s="1235"/>
      <c r="C347" s="1236"/>
      <c r="D347" s="1236"/>
      <c r="E347" s="1236"/>
      <c r="F347" s="1237"/>
      <c r="G347" s="1252"/>
      <c r="H347" s="1252"/>
      <c r="I347" s="1252"/>
      <c r="J347" s="1415"/>
      <c r="K347" s="1252"/>
      <c r="L347" s="1421"/>
      <c r="M347" s="1371" t="str">
        <f>IF('別紙様式2-2（４・５月分）'!P264="","",'別紙様式2-2（４・５月分）'!P264)</f>
        <v/>
      </c>
      <c r="N347" s="1392"/>
      <c r="O347" s="1398"/>
      <c r="P347" s="1399"/>
      <c r="Q347" s="1400"/>
      <c r="R347" s="1532"/>
      <c r="S347" s="1404"/>
      <c r="T347" s="1528"/>
      <c r="U347" s="1530"/>
      <c r="V347" s="1410"/>
      <c r="W347" s="1526"/>
      <c r="X347" s="1350"/>
      <c r="Y347" s="1526"/>
      <c r="Z347" s="1350"/>
      <c r="AA347" s="1526"/>
      <c r="AB347" s="1350"/>
      <c r="AC347" s="1526"/>
      <c r="AD347" s="1350"/>
      <c r="AE347" s="1350"/>
      <c r="AF347" s="1350"/>
      <c r="AG347" s="1352"/>
      <c r="AH347" s="1518"/>
      <c r="AI347" s="1520"/>
      <c r="AJ347" s="1522"/>
      <c r="AK347" s="1524"/>
      <c r="AL347" s="1513"/>
      <c r="AM347" s="1515"/>
      <c r="AN347" s="1334"/>
      <c r="AO347" s="1516"/>
      <c r="AP347" s="1334"/>
      <c r="AQ347" s="1482"/>
      <c r="AR347" s="1485"/>
      <c r="AS347" s="1483" t="str">
        <f t="shared" ref="AS347" si="575">IF(AU348="","",IF(OR(AA348="",AA348&lt;&gt;7,AC348="",AC348&lt;&gt;3),"！算定期間の終わりが令和７年３月になっていません。年度内の廃止予定等がなければ、算定対象月を令和７年３月にしてください。",""))</f>
        <v/>
      </c>
      <c r="AT347" s="577"/>
      <c r="AU347" s="1303"/>
      <c r="AV347" s="1304" t="str">
        <f>IF('別紙様式2-2（４・５月分）'!N264="","",'別紙様式2-2（４・５月分）'!N264)</f>
        <v/>
      </c>
      <c r="AW347" s="1305"/>
      <c r="AX347" s="1474"/>
      <c r="AY347" s="430"/>
      <c r="BD347" s="340"/>
      <c r="BE347" s="1303" t="str">
        <f>G346</f>
        <v/>
      </c>
      <c r="BF347" s="1303"/>
      <c r="BG347" s="1303"/>
    </row>
    <row r="348" spans="1:59" ht="15" customHeight="1">
      <c r="A348" s="1295"/>
      <c r="B348" s="1235"/>
      <c r="C348" s="1236"/>
      <c r="D348" s="1236"/>
      <c r="E348" s="1236"/>
      <c r="F348" s="1237"/>
      <c r="G348" s="1252"/>
      <c r="H348" s="1252"/>
      <c r="I348" s="1252"/>
      <c r="J348" s="1415"/>
      <c r="K348" s="1252"/>
      <c r="L348" s="1421"/>
      <c r="M348" s="1372"/>
      <c r="N348" s="1393"/>
      <c r="O348" s="1373" t="s">
        <v>2025</v>
      </c>
      <c r="P348" s="1425" t="str">
        <f>IFERROR(VLOOKUP('別紙様式2-2（４・５月分）'!AQ263,【参考】数式用!$AR$5:$AT$22,3,FALSE),"")</f>
        <v/>
      </c>
      <c r="Q348" s="1377" t="s">
        <v>2036</v>
      </c>
      <c r="R348" s="1508" t="str">
        <f>IFERROR(VLOOKUP(K346,【参考】数式用!$A$5:$AB$37,MATCH(P348,【参考】数式用!$B$4:$AB$4,0)+1,0),"")</f>
        <v/>
      </c>
      <c r="S348" s="1381" t="s">
        <v>2109</v>
      </c>
      <c r="T348" s="1510"/>
      <c r="U348" s="1506" t="str">
        <f>IFERROR(VLOOKUP(K346,【参考】数式用!$A$5:$AB$37,MATCH(T348,【参考】数式用!$B$4:$AB$4,0)+1,0),"")</f>
        <v/>
      </c>
      <c r="V348" s="1387" t="s">
        <v>15</v>
      </c>
      <c r="W348" s="1504"/>
      <c r="X348" s="1363" t="s">
        <v>10</v>
      </c>
      <c r="Y348" s="1504"/>
      <c r="Z348" s="1363" t="s">
        <v>38</v>
      </c>
      <c r="AA348" s="1504"/>
      <c r="AB348" s="1363" t="s">
        <v>10</v>
      </c>
      <c r="AC348" s="1504"/>
      <c r="AD348" s="1363" t="s">
        <v>2020</v>
      </c>
      <c r="AE348" s="1363" t="s">
        <v>20</v>
      </c>
      <c r="AF348" s="1363" t="str">
        <f>IF(W348&gt;=1,(AA348*12+AC348)-(W348*12+Y348)+1,"")</f>
        <v/>
      </c>
      <c r="AG348" s="1359" t="s">
        <v>33</v>
      </c>
      <c r="AH348" s="1365" t="str">
        <f t="shared" ref="AH348" si="576">IFERROR(ROUNDDOWN(ROUND(L346*U348,0),0)*AF348,"")</f>
        <v/>
      </c>
      <c r="AI348" s="1498" t="str">
        <f t="shared" ref="AI348" si="577">IFERROR(ROUNDDOWN(ROUND((L346*(U348-AW346)),0),0)*AF348,"")</f>
        <v/>
      </c>
      <c r="AJ348" s="1369" t="str">
        <f>IFERROR(ROUNDDOWN(ROUNDDOWN(ROUND(L346*VLOOKUP(K346,【参考】数式用!$A$5:$AB$27,MATCH("新加算Ⅳ",【参考】数式用!$B$4:$AB$4,0)+1,0),0),0)*AF348*0.5,0),"")</f>
        <v/>
      </c>
      <c r="AK348" s="1500"/>
      <c r="AL348" s="1502" t="str">
        <f>IFERROR(IF('別紙様式2-2（４・５月分）'!P348="ベア加算","", IF(OR(T348="新加算Ⅰ",T348="新加算Ⅱ",T348="新加算Ⅲ",T348="新加算Ⅳ"),ROUNDDOWN(ROUND(L346*VLOOKUP(K346,【参考】数式用!$A$5:$I$27,MATCH("ベア加算",【参考】数式用!$B$4:$I$4,0)+1,0),0),0)*AF348,"")),"")</f>
        <v/>
      </c>
      <c r="AM348" s="1494"/>
      <c r="AN348" s="1475"/>
      <c r="AO348" s="1496"/>
      <c r="AP348" s="1475"/>
      <c r="AQ348" s="1477"/>
      <c r="AR348" s="1479"/>
      <c r="AS348" s="1483"/>
      <c r="AT348" s="451"/>
      <c r="AU348" s="1303" t="str">
        <f>IF(AND(AA346&lt;&gt;7,AC346&lt;&gt;3),"V列に色付け","")</f>
        <v/>
      </c>
      <c r="AV348" s="1304"/>
      <c r="AW348" s="1305"/>
      <c r="AX348" s="574"/>
      <c r="AY348" s="1222" t="str">
        <f>IF(AL348&lt;&gt;"",IF(AM348="○","入力済","未入力"),"")</f>
        <v/>
      </c>
      <c r="AZ348" s="1222"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2" t="str">
        <f>IF(OR(T348="新加算Ⅴ（７）",T348="新加算Ⅴ（９）",T348="新加算Ⅴ（10）",T348="新加算Ⅴ（12）",T348="新加算Ⅴ（13）",T348="新加算Ⅴ（14）"),IF(OR(AO348="○",AO348="令和６年度中に満たす"),"入力済","未入力"),"")</f>
        <v/>
      </c>
      <c r="BB348" s="1222" t="str">
        <f>IF(OR(T348="新加算Ⅰ",T348="新加算Ⅱ",T348="新加算Ⅲ",T348="新加算Ⅴ（１）",T348="新加算Ⅴ（３）",T348="新加算Ⅴ（８）"),IF(OR(AP348="○",AP348="令和６年度中に満たす"),"入力済","未入力"),"")</f>
        <v/>
      </c>
      <c r="BC348" s="1472"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03" t="str">
        <f>IF(OR(T348="新加算Ⅰ",T348="新加算Ⅴ（１）",T348="新加算Ⅴ（２）",T348="新加算Ⅴ（５）",T348="新加算Ⅴ（７）",T348="新加算Ⅴ（10）"),IF(AR348="","未入力","入力済"),"")</f>
        <v/>
      </c>
      <c r="BE348" s="1303" t="str">
        <f>G346</f>
        <v/>
      </c>
      <c r="BF348" s="1303"/>
      <c r="BG348" s="1303"/>
    </row>
    <row r="349" spans="1:59" ht="30" customHeight="1" thickBot="1">
      <c r="A349" s="1268"/>
      <c r="B349" s="1411"/>
      <c r="C349" s="1412"/>
      <c r="D349" s="1412"/>
      <c r="E349" s="1412"/>
      <c r="F349" s="1413"/>
      <c r="G349" s="1253"/>
      <c r="H349" s="1253"/>
      <c r="I349" s="1253"/>
      <c r="J349" s="1416"/>
      <c r="K349" s="1253"/>
      <c r="L349" s="1422"/>
      <c r="M349" s="553" t="str">
        <f>IF('別紙様式2-2（４・５月分）'!P265="","",'別紙様式2-2（４・５月分）'!P265)</f>
        <v/>
      </c>
      <c r="N349" s="1394"/>
      <c r="O349" s="1374"/>
      <c r="P349" s="1426"/>
      <c r="Q349" s="1378"/>
      <c r="R349" s="1509"/>
      <c r="S349" s="1382"/>
      <c r="T349" s="1511"/>
      <c r="U349" s="1507"/>
      <c r="V349" s="1388"/>
      <c r="W349" s="1505"/>
      <c r="X349" s="1364"/>
      <c r="Y349" s="1505"/>
      <c r="Z349" s="1364"/>
      <c r="AA349" s="1505"/>
      <c r="AB349" s="1364"/>
      <c r="AC349" s="1505"/>
      <c r="AD349" s="1364"/>
      <c r="AE349" s="1364"/>
      <c r="AF349" s="1364"/>
      <c r="AG349" s="1360"/>
      <c r="AH349" s="1366"/>
      <c r="AI349" s="1499"/>
      <c r="AJ349" s="1370"/>
      <c r="AK349" s="1501"/>
      <c r="AL349" s="1503"/>
      <c r="AM349" s="1495"/>
      <c r="AN349" s="1476"/>
      <c r="AO349" s="1497"/>
      <c r="AP349" s="1476"/>
      <c r="AQ349" s="1478"/>
      <c r="AR349" s="1480"/>
      <c r="AS349" s="575"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1"/>
      <c r="AU349" s="1303"/>
      <c r="AV349" s="555" t="str">
        <f>IF('別紙様式2-2（４・５月分）'!N265="","",'別紙様式2-2（４・５月分）'!N265)</f>
        <v/>
      </c>
      <c r="AW349" s="1305"/>
      <c r="AX349" s="576"/>
      <c r="AY349" s="1222" t="str">
        <f>IF(OR(T349="新加算Ⅰ",T349="新加算Ⅱ",T349="新加算Ⅲ",T349="新加算Ⅳ",T349="新加算Ⅴ（１）",T349="新加算Ⅴ（２）",T349="新加算Ⅴ（３）",T349="新加算ⅠⅤ（４）",T349="新加算Ⅴ（５）",T349="新加算Ⅴ（６）",T349="新加算Ⅴ（８）",T349="新加算Ⅴ（11）"),IF(AI349="○","","未入力"),"")</f>
        <v/>
      </c>
      <c r="AZ349" s="1222" t="str">
        <f>IF(OR(U349="新加算Ⅰ",U349="新加算Ⅱ",U349="新加算Ⅲ",U349="新加算Ⅳ",U349="新加算Ⅴ（１）",U349="新加算Ⅴ（２）",U349="新加算Ⅴ（３）",U349="新加算ⅠⅤ（４）",U349="新加算Ⅴ（５）",U349="新加算Ⅴ（６）",U349="新加算Ⅴ（８）",U349="新加算Ⅴ（11）"),IF(AJ349="○","","未入力"),"")</f>
        <v/>
      </c>
      <c r="BA349" s="1222" t="str">
        <f>IF(OR(U349="新加算Ⅴ（７）",U349="新加算Ⅴ（９）",U349="新加算Ⅴ（10）",U349="新加算Ⅴ（12）",U349="新加算Ⅴ（13）",U349="新加算Ⅴ（14）"),IF(AK349="○","","未入力"),"")</f>
        <v/>
      </c>
      <c r="BB349" s="1222" t="str">
        <f>IF(OR(U349="新加算Ⅰ",U349="新加算Ⅱ",U349="新加算Ⅲ",U349="新加算Ⅴ（１）",U349="新加算Ⅴ（３）",U349="新加算Ⅴ（８）"),IF(AL349="○","","未入力"),"")</f>
        <v/>
      </c>
      <c r="BC349" s="1472"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03" t="str">
        <f>IF(AND(T349&lt;&gt;"（参考）令和７年度の移行予定",OR(U349="新加算Ⅰ",U349="新加算Ⅴ（１）",U349="新加算Ⅴ（２）",U349="新加算Ⅴ（５）",U349="新加算Ⅴ（７）",U349="新加算Ⅴ（10）")),IF(AN349="","未入力",IF(AN349="いずれも取得していない","要件を満たさない","")),"")</f>
        <v/>
      </c>
      <c r="BE349" s="1303" t="str">
        <f>G346</f>
        <v/>
      </c>
      <c r="BF349" s="1303"/>
      <c r="BG349" s="1303"/>
    </row>
    <row r="350" spans="1:59" ht="30" customHeight="1">
      <c r="A350" s="1266">
        <v>85</v>
      </c>
      <c r="B350" s="1232" t="str">
        <f>IF(基本情報入力シート!C138="","",基本情報入力シート!C138)</f>
        <v/>
      </c>
      <c r="C350" s="1233"/>
      <c r="D350" s="1233"/>
      <c r="E350" s="1233"/>
      <c r="F350" s="1234"/>
      <c r="G350" s="1251" t="str">
        <f>IF(基本情報入力シート!M138="","",基本情報入力シート!M138)</f>
        <v/>
      </c>
      <c r="H350" s="1251" t="str">
        <f>IF(基本情報入力シート!R138="","",基本情報入力シート!R138)</f>
        <v/>
      </c>
      <c r="I350" s="1251" t="str">
        <f>IF(基本情報入力シート!W138="","",基本情報入力シート!W138)</f>
        <v/>
      </c>
      <c r="J350" s="1414" t="str">
        <f>IF(基本情報入力シート!X138="","",基本情報入力シート!X138)</f>
        <v/>
      </c>
      <c r="K350" s="1251" t="str">
        <f>IF(基本情報入力シート!Y138="","",基本情報入力シート!Y138)</f>
        <v/>
      </c>
      <c r="L350" s="1427" t="str">
        <f>IF(基本情報入力シート!AB138="","",基本情報入力シート!AB138)</f>
        <v/>
      </c>
      <c r="M350" s="550" t="str">
        <f>IF('別紙様式2-2（４・５月分）'!P266="","",'別紙様式2-2（４・５月分）'!P266)</f>
        <v/>
      </c>
      <c r="N350" s="1391" t="str">
        <f>IF(SUM('別紙様式2-2（４・５月分）'!Q266:Q268)=0,"",SUM('別紙様式2-2（４・５月分）'!Q266:Q268))</f>
        <v/>
      </c>
      <c r="O350" s="1395" t="str">
        <f>IFERROR(VLOOKUP('別紙様式2-2（４・５月分）'!AQ266,【参考】数式用!$AR$5:$AS$22,2,FALSE),"")</f>
        <v/>
      </c>
      <c r="P350" s="1396"/>
      <c r="Q350" s="1397"/>
      <c r="R350" s="1531" t="str">
        <f>IFERROR(VLOOKUP(K350,【参考】数式用!$A$5:$AB$37,MATCH(O350,【参考】数式用!$B$4:$AB$4,0)+1,0),"")</f>
        <v/>
      </c>
      <c r="S350" s="1403" t="s">
        <v>2102</v>
      </c>
      <c r="T350" s="1527" t="str">
        <f>IF('別紙様式2-3（６月以降分）'!T350="","",'別紙様式2-3（６月以降分）'!T350)</f>
        <v/>
      </c>
      <c r="U350" s="1529" t="str">
        <f>IFERROR(VLOOKUP(K350,【参考】数式用!$A$5:$AB$37,MATCH(T350,【参考】数式用!$B$4:$AB$4,0)+1,0),"")</f>
        <v/>
      </c>
      <c r="V350" s="1409" t="s">
        <v>15</v>
      </c>
      <c r="W350" s="1525">
        <f>'別紙様式2-3（６月以降分）'!W350</f>
        <v>6</v>
      </c>
      <c r="X350" s="1349" t="s">
        <v>10</v>
      </c>
      <c r="Y350" s="1525">
        <f>'別紙様式2-3（６月以降分）'!Y350</f>
        <v>6</v>
      </c>
      <c r="Z350" s="1349" t="s">
        <v>38</v>
      </c>
      <c r="AA350" s="1525">
        <f>'別紙様式2-3（６月以降分）'!AA350</f>
        <v>7</v>
      </c>
      <c r="AB350" s="1349" t="s">
        <v>10</v>
      </c>
      <c r="AC350" s="1525">
        <f>'別紙様式2-3（６月以降分）'!AC350</f>
        <v>3</v>
      </c>
      <c r="AD350" s="1349" t="s">
        <v>2020</v>
      </c>
      <c r="AE350" s="1349" t="s">
        <v>20</v>
      </c>
      <c r="AF350" s="1349">
        <f>IF(W350&gt;=1,(AA350*12+AC350)-(W350*12+Y350)+1,"")</f>
        <v>10</v>
      </c>
      <c r="AG350" s="1351" t="s">
        <v>33</v>
      </c>
      <c r="AH350" s="1517" t="str">
        <f>'別紙様式2-3（６月以降分）'!AH350</f>
        <v/>
      </c>
      <c r="AI350" s="1519" t="str">
        <f>'別紙様式2-3（６月以降分）'!AI350</f>
        <v/>
      </c>
      <c r="AJ350" s="1521">
        <f>'別紙様式2-3（６月以降分）'!AJ350</f>
        <v>0</v>
      </c>
      <c r="AK350" s="1523" t="str">
        <f>IF('別紙様式2-3（６月以降分）'!AK350="","",'別紙様式2-3（６月以降分）'!AK350)</f>
        <v/>
      </c>
      <c r="AL350" s="1512">
        <f>'別紙様式2-3（６月以降分）'!AL350</f>
        <v>0</v>
      </c>
      <c r="AM350" s="1514" t="str">
        <f>IF('別紙様式2-3（６月以降分）'!AM350="","",'別紙様式2-3（６月以降分）'!AM350)</f>
        <v/>
      </c>
      <c r="AN350" s="1333" t="str">
        <f>IF('別紙様式2-3（６月以降分）'!AN350="","",'別紙様式2-3（６月以降分）'!AN350)</f>
        <v/>
      </c>
      <c r="AO350" s="1331" t="str">
        <f>IF('別紙様式2-3（６月以降分）'!AO350="","",'別紙様式2-3（６月以降分）'!AO350)</f>
        <v/>
      </c>
      <c r="AP350" s="1333" t="str">
        <f>IF('別紙様式2-3（６月以降分）'!AP350="","",'別紙様式2-3（６月以降分）'!AP350)</f>
        <v/>
      </c>
      <c r="AQ350" s="1481" t="str">
        <f>IF('別紙様式2-3（６月以降分）'!AQ350="","",'別紙様式2-3（６月以降分）'!AQ350)</f>
        <v/>
      </c>
      <c r="AR350" s="1484" t="str">
        <f>IF('別紙様式2-3（６月以降分）'!AR350="","",'別紙様式2-3（６月以降分）'!AR350)</f>
        <v/>
      </c>
      <c r="AS350" s="570" t="str">
        <f t="shared" ref="AS350" si="581">IF(AU352="","",IF(U352&lt;U350,"！加算の要件上は問題ありませんが、令和６年度当初の新加算の加算率と比較して、移行後の加算率が下がる計画になっています。",""))</f>
        <v/>
      </c>
      <c r="AT350" s="577"/>
      <c r="AU350" s="1301"/>
      <c r="AV350" s="555" t="str">
        <f>IF('別紙様式2-2（４・５月分）'!N266="","",'別紙様式2-2（４・５月分）'!N266)</f>
        <v/>
      </c>
      <c r="AW350" s="1305" t="str">
        <f>IF(SUM('別紙様式2-2（４・５月分）'!O266:O268)=0,"",SUM('別紙様式2-2（４・５月分）'!O266:O268))</f>
        <v/>
      </c>
      <c r="AX350" s="1473" t="str">
        <f>IFERROR(VLOOKUP(K350,【参考】数式用!$AH$2:$AI$34,2,FALSE),"")</f>
        <v/>
      </c>
      <c r="AY350" s="493"/>
      <c r="BD350" s="340"/>
      <c r="BE350" s="1303" t="str">
        <f>G350</f>
        <v/>
      </c>
      <c r="BF350" s="1303"/>
      <c r="BG350" s="1303"/>
    </row>
    <row r="351" spans="1:59" ht="15" customHeight="1">
      <c r="A351" s="1267"/>
      <c r="B351" s="1235"/>
      <c r="C351" s="1236"/>
      <c r="D351" s="1236"/>
      <c r="E351" s="1236"/>
      <c r="F351" s="1237"/>
      <c r="G351" s="1252"/>
      <c r="H351" s="1252"/>
      <c r="I351" s="1252"/>
      <c r="J351" s="1415"/>
      <c r="K351" s="1252"/>
      <c r="L351" s="1421"/>
      <c r="M351" s="1371" t="str">
        <f>IF('別紙様式2-2（４・５月分）'!P267="","",'別紙様式2-2（４・５月分）'!P267)</f>
        <v/>
      </c>
      <c r="N351" s="1392"/>
      <c r="O351" s="1398"/>
      <c r="P351" s="1399"/>
      <c r="Q351" s="1400"/>
      <c r="R351" s="1532"/>
      <c r="S351" s="1404"/>
      <c r="T351" s="1528"/>
      <c r="U351" s="1530"/>
      <c r="V351" s="1410"/>
      <c r="W351" s="1526"/>
      <c r="X351" s="1350"/>
      <c r="Y351" s="1526"/>
      <c r="Z351" s="1350"/>
      <c r="AA351" s="1526"/>
      <c r="AB351" s="1350"/>
      <c r="AC351" s="1526"/>
      <c r="AD351" s="1350"/>
      <c r="AE351" s="1350"/>
      <c r="AF351" s="1350"/>
      <c r="AG351" s="1352"/>
      <c r="AH351" s="1518"/>
      <c r="AI351" s="1520"/>
      <c r="AJ351" s="1522"/>
      <c r="AK351" s="1524"/>
      <c r="AL351" s="1513"/>
      <c r="AM351" s="1515"/>
      <c r="AN351" s="1334"/>
      <c r="AO351" s="1516"/>
      <c r="AP351" s="1334"/>
      <c r="AQ351" s="1482"/>
      <c r="AR351" s="1485"/>
      <c r="AS351" s="1483" t="str">
        <f t="shared" ref="AS351" si="582">IF(AU352="","",IF(OR(AA352="",AA352&lt;&gt;7,AC352="",AC352&lt;&gt;3),"！算定期間の終わりが令和７年３月になっていません。年度内の廃止予定等がなければ、算定対象月を令和７年３月にしてください。",""))</f>
        <v/>
      </c>
      <c r="AT351" s="577"/>
      <c r="AU351" s="1303"/>
      <c r="AV351" s="1304" t="str">
        <f>IF('別紙様式2-2（４・５月分）'!N267="","",'別紙様式2-2（４・５月分）'!N267)</f>
        <v/>
      </c>
      <c r="AW351" s="1305"/>
      <c r="AX351" s="1474"/>
      <c r="AY351" s="430"/>
      <c r="BD351" s="340"/>
      <c r="BE351" s="1303" t="str">
        <f>G350</f>
        <v/>
      </c>
      <c r="BF351" s="1303"/>
      <c r="BG351" s="1303"/>
    </row>
    <row r="352" spans="1:59" ht="15" customHeight="1">
      <c r="A352" s="1295"/>
      <c r="B352" s="1235"/>
      <c r="C352" s="1236"/>
      <c r="D352" s="1236"/>
      <c r="E352" s="1236"/>
      <c r="F352" s="1237"/>
      <c r="G352" s="1252"/>
      <c r="H352" s="1252"/>
      <c r="I352" s="1252"/>
      <c r="J352" s="1415"/>
      <c r="K352" s="1252"/>
      <c r="L352" s="1421"/>
      <c r="M352" s="1372"/>
      <c r="N352" s="1393"/>
      <c r="O352" s="1373" t="s">
        <v>2025</v>
      </c>
      <c r="P352" s="1425" t="str">
        <f>IFERROR(VLOOKUP('別紙様式2-2（４・５月分）'!AQ266,【参考】数式用!$AR$5:$AT$22,3,FALSE),"")</f>
        <v/>
      </c>
      <c r="Q352" s="1377" t="s">
        <v>2036</v>
      </c>
      <c r="R352" s="1508" t="str">
        <f>IFERROR(VLOOKUP(K350,【参考】数式用!$A$5:$AB$37,MATCH(P352,【参考】数式用!$B$4:$AB$4,0)+1,0),"")</f>
        <v/>
      </c>
      <c r="S352" s="1381" t="s">
        <v>2109</v>
      </c>
      <c r="T352" s="1510"/>
      <c r="U352" s="1506" t="str">
        <f>IFERROR(VLOOKUP(K350,【参考】数式用!$A$5:$AB$37,MATCH(T352,【参考】数式用!$B$4:$AB$4,0)+1,0),"")</f>
        <v/>
      </c>
      <c r="V352" s="1387" t="s">
        <v>15</v>
      </c>
      <c r="W352" s="1504"/>
      <c r="X352" s="1363" t="s">
        <v>10</v>
      </c>
      <c r="Y352" s="1504"/>
      <c r="Z352" s="1363" t="s">
        <v>38</v>
      </c>
      <c r="AA352" s="1504"/>
      <c r="AB352" s="1363" t="s">
        <v>10</v>
      </c>
      <c r="AC352" s="1504"/>
      <c r="AD352" s="1363" t="s">
        <v>2020</v>
      </c>
      <c r="AE352" s="1363" t="s">
        <v>20</v>
      </c>
      <c r="AF352" s="1363" t="str">
        <f>IF(W352&gt;=1,(AA352*12+AC352)-(W352*12+Y352)+1,"")</f>
        <v/>
      </c>
      <c r="AG352" s="1359" t="s">
        <v>33</v>
      </c>
      <c r="AH352" s="1365" t="str">
        <f t="shared" ref="AH352" si="583">IFERROR(ROUNDDOWN(ROUND(L350*U352,0),0)*AF352,"")</f>
        <v/>
      </c>
      <c r="AI352" s="1498" t="str">
        <f t="shared" ref="AI352" si="584">IFERROR(ROUNDDOWN(ROUND((L350*(U352-AW350)),0),0)*AF352,"")</f>
        <v/>
      </c>
      <c r="AJ352" s="1369" t="str">
        <f>IFERROR(ROUNDDOWN(ROUNDDOWN(ROUND(L350*VLOOKUP(K350,【参考】数式用!$A$5:$AB$27,MATCH("新加算Ⅳ",【参考】数式用!$B$4:$AB$4,0)+1,0),0),0)*AF352*0.5,0),"")</f>
        <v/>
      </c>
      <c r="AK352" s="1500"/>
      <c r="AL352" s="1502" t="str">
        <f>IFERROR(IF('別紙様式2-2（４・５月分）'!P352="ベア加算","", IF(OR(T352="新加算Ⅰ",T352="新加算Ⅱ",T352="新加算Ⅲ",T352="新加算Ⅳ"),ROUNDDOWN(ROUND(L350*VLOOKUP(K350,【参考】数式用!$A$5:$I$27,MATCH("ベア加算",【参考】数式用!$B$4:$I$4,0)+1,0),0),0)*AF352,"")),"")</f>
        <v/>
      </c>
      <c r="AM352" s="1494"/>
      <c r="AN352" s="1475"/>
      <c r="AO352" s="1496"/>
      <c r="AP352" s="1475"/>
      <c r="AQ352" s="1477"/>
      <c r="AR352" s="1479"/>
      <c r="AS352" s="1483"/>
      <c r="AT352" s="451"/>
      <c r="AU352" s="1303" t="str">
        <f>IF(AND(AA350&lt;&gt;7,AC350&lt;&gt;3),"V列に色付け","")</f>
        <v/>
      </c>
      <c r="AV352" s="1304"/>
      <c r="AW352" s="1305"/>
      <c r="AX352" s="574"/>
      <c r="AY352" s="1222" t="str">
        <f>IF(AL352&lt;&gt;"",IF(AM352="○","入力済","未入力"),"")</f>
        <v/>
      </c>
      <c r="AZ352" s="1222"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2" t="str">
        <f>IF(OR(T352="新加算Ⅴ（７）",T352="新加算Ⅴ（９）",T352="新加算Ⅴ（10）",T352="新加算Ⅴ（12）",T352="新加算Ⅴ（13）",T352="新加算Ⅴ（14）"),IF(OR(AO352="○",AO352="令和６年度中に満たす"),"入力済","未入力"),"")</f>
        <v/>
      </c>
      <c r="BB352" s="1222" t="str">
        <f>IF(OR(T352="新加算Ⅰ",T352="新加算Ⅱ",T352="新加算Ⅲ",T352="新加算Ⅴ（１）",T352="新加算Ⅴ（３）",T352="新加算Ⅴ（８）"),IF(OR(AP352="○",AP352="令和６年度中に満たす"),"入力済","未入力"),"")</f>
        <v/>
      </c>
      <c r="BC352" s="1472"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03" t="str">
        <f>IF(OR(T352="新加算Ⅰ",T352="新加算Ⅴ（１）",T352="新加算Ⅴ（２）",T352="新加算Ⅴ（５）",T352="新加算Ⅴ（７）",T352="新加算Ⅴ（10）"),IF(AR352="","未入力","入力済"),"")</f>
        <v/>
      </c>
      <c r="BE352" s="1303" t="str">
        <f>G350</f>
        <v/>
      </c>
      <c r="BF352" s="1303"/>
      <c r="BG352" s="1303"/>
    </row>
    <row r="353" spans="1:59" ht="30" customHeight="1" thickBot="1">
      <c r="A353" s="1268"/>
      <c r="B353" s="1411"/>
      <c r="C353" s="1412"/>
      <c r="D353" s="1412"/>
      <c r="E353" s="1412"/>
      <c r="F353" s="1413"/>
      <c r="G353" s="1253"/>
      <c r="H353" s="1253"/>
      <c r="I353" s="1253"/>
      <c r="J353" s="1416"/>
      <c r="K353" s="1253"/>
      <c r="L353" s="1422"/>
      <c r="M353" s="553" t="str">
        <f>IF('別紙様式2-2（４・５月分）'!P268="","",'別紙様式2-2（４・５月分）'!P268)</f>
        <v/>
      </c>
      <c r="N353" s="1394"/>
      <c r="O353" s="1374"/>
      <c r="P353" s="1426"/>
      <c r="Q353" s="1378"/>
      <c r="R353" s="1509"/>
      <c r="S353" s="1382"/>
      <c r="T353" s="1511"/>
      <c r="U353" s="1507"/>
      <c r="V353" s="1388"/>
      <c r="W353" s="1505"/>
      <c r="X353" s="1364"/>
      <c r="Y353" s="1505"/>
      <c r="Z353" s="1364"/>
      <c r="AA353" s="1505"/>
      <c r="AB353" s="1364"/>
      <c r="AC353" s="1505"/>
      <c r="AD353" s="1364"/>
      <c r="AE353" s="1364"/>
      <c r="AF353" s="1364"/>
      <c r="AG353" s="1360"/>
      <c r="AH353" s="1366"/>
      <c r="AI353" s="1499"/>
      <c r="AJ353" s="1370"/>
      <c r="AK353" s="1501"/>
      <c r="AL353" s="1503"/>
      <c r="AM353" s="1495"/>
      <c r="AN353" s="1476"/>
      <c r="AO353" s="1497"/>
      <c r="AP353" s="1476"/>
      <c r="AQ353" s="1478"/>
      <c r="AR353" s="1480"/>
      <c r="AS353" s="575"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1"/>
      <c r="AU353" s="1303"/>
      <c r="AV353" s="555" t="str">
        <f>IF('別紙様式2-2（４・５月分）'!N268="","",'別紙様式2-2（４・５月分）'!N268)</f>
        <v/>
      </c>
      <c r="AW353" s="1305"/>
      <c r="AX353" s="576"/>
      <c r="AY353" s="1222" t="str">
        <f>IF(OR(T353="新加算Ⅰ",T353="新加算Ⅱ",T353="新加算Ⅲ",T353="新加算Ⅳ",T353="新加算Ⅴ（１）",T353="新加算Ⅴ（２）",T353="新加算Ⅴ（３）",T353="新加算ⅠⅤ（４）",T353="新加算Ⅴ（５）",T353="新加算Ⅴ（６）",T353="新加算Ⅴ（８）",T353="新加算Ⅴ（11）"),IF(AI353="○","","未入力"),"")</f>
        <v/>
      </c>
      <c r="AZ353" s="1222" t="str">
        <f>IF(OR(U353="新加算Ⅰ",U353="新加算Ⅱ",U353="新加算Ⅲ",U353="新加算Ⅳ",U353="新加算Ⅴ（１）",U353="新加算Ⅴ（２）",U353="新加算Ⅴ（３）",U353="新加算ⅠⅤ（４）",U353="新加算Ⅴ（５）",U353="新加算Ⅴ（６）",U353="新加算Ⅴ（８）",U353="新加算Ⅴ（11）"),IF(AJ353="○","","未入力"),"")</f>
        <v/>
      </c>
      <c r="BA353" s="1222" t="str">
        <f>IF(OR(U353="新加算Ⅴ（７）",U353="新加算Ⅴ（９）",U353="新加算Ⅴ（10）",U353="新加算Ⅴ（12）",U353="新加算Ⅴ（13）",U353="新加算Ⅴ（14）"),IF(AK353="○","","未入力"),"")</f>
        <v/>
      </c>
      <c r="BB353" s="1222" t="str">
        <f>IF(OR(U353="新加算Ⅰ",U353="新加算Ⅱ",U353="新加算Ⅲ",U353="新加算Ⅴ（１）",U353="新加算Ⅴ（３）",U353="新加算Ⅴ（８）"),IF(AL353="○","","未入力"),"")</f>
        <v/>
      </c>
      <c r="BC353" s="1472"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03" t="str">
        <f>IF(AND(T353&lt;&gt;"（参考）令和７年度の移行予定",OR(U353="新加算Ⅰ",U353="新加算Ⅴ（１）",U353="新加算Ⅴ（２）",U353="新加算Ⅴ（５）",U353="新加算Ⅴ（７）",U353="新加算Ⅴ（10）")),IF(AN353="","未入力",IF(AN353="いずれも取得していない","要件を満たさない","")),"")</f>
        <v/>
      </c>
      <c r="BE353" s="1303" t="str">
        <f>G350</f>
        <v/>
      </c>
      <c r="BF353" s="1303"/>
      <c r="BG353" s="1303"/>
    </row>
    <row r="354" spans="1:59" ht="30" customHeight="1">
      <c r="A354" s="1293">
        <v>86</v>
      </c>
      <c r="B354" s="1235" t="str">
        <f>IF(基本情報入力シート!C139="","",基本情報入力シート!C139)</f>
        <v/>
      </c>
      <c r="C354" s="1236"/>
      <c r="D354" s="1236"/>
      <c r="E354" s="1236"/>
      <c r="F354" s="1237"/>
      <c r="G354" s="1252" t="str">
        <f>IF(基本情報入力シート!M139="","",基本情報入力シート!M139)</f>
        <v/>
      </c>
      <c r="H354" s="1252" t="str">
        <f>IF(基本情報入力シート!R139="","",基本情報入力シート!R139)</f>
        <v/>
      </c>
      <c r="I354" s="1252" t="str">
        <f>IF(基本情報入力シート!W139="","",基本情報入力シート!W139)</f>
        <v/>
      </c>
      <c r="J354" s="1415" t="str">
        <f>IF(基本情報入力シート!X139="","",基本情報入力シート!X139)</f>
        <v/>
      </c>
      <c r="K354" s="1252" t="str">
        <f>IF(基本情報入力シート!Y139="","",基本情報入力シート!Y139)</f>
        <v/>
      </c>
      <c r="L354" s="1421" t="str">
        <f>IF(基本情報入力シート!AB139="","",基本情報入力シート!AB139)</f>
        <v/>
      </c>
      <c r="M354" s="550" t="str">
        <f>IF('別紙様式2-2（４・５月分）'!P269="","",'別紙様式2-2（４・５月分）'!P269)</f>
        <v/>
      </c>
      <c r="N354" s="1391" t="str">
        <f>IF(SUM('別紙様式2-2（４・５月分）'!Q269:Q271)=0,"",SUM('別紙様式2-2（４・５月分）'!Q269:Q271))</f>
        <v/>
      </c>
      <c r="O354" s="1395" t="str">
        <f>IFERROR(VLOOKUP('別紙様式2-2（４・５月分）'!AQ269,【参考】数式用!$AR$5:$AS$22,2,FALSE),"")</f>
        <v/>
      </c>
      <c r="P354" s="1396"/>
      <c r="Q354" s="1397"/>
      <c r="R354" s="1531" t="str">
        <f>IFERROR(VLOOKUP(K354,【参考】数式用!$A$5:$AB$37,MATCH(O354,【参考】数式用!$B$4:$AB$4,0)+1,0),"")</f>
        <v/>
      </c>
      <c r="S354" s="1403" t="s">
        <v>2102</v>
      </c>
      <c r="T354" s="1527" t="str">
        <f>IF('別紙様式2-3（６月以降分）'!T354="","",'別紙様式2-3（６月以降分）'!T354)</f>
        <v/>
      </c>
      <c r="U354" s="1529" t="str">
        <f>IFERROR(VLOOKUP(K354,【参考】数式用!$A$5:$AB$37,MATCH(T354,【参考】数式用!$B$4:$AB$4,0)+1,0),"")</f>
        <v/>
      </c>
      <c r="V354" s="1409" t="s">
        <v>15</v>
      </c>
      <c r="W354" s="1525">
        <f>'別紙様式2-3（６月以降分）'!W354</f>
        <v>6</v>
      </c>
      <c r="X354" s="1349" t="s">
        <v>10</v>
      </c>
      <c r="Y354" s="1525">
        <f>'別紙様式2-3（６月以降分）'!Y354</f>
        <v>6</v>
      </c>
      <c r="Z354" s="1349" t="s">
        <v>38</v>
      </c>
      <c r="AA354" s="1525">
        <f>'別紙様式2-3（６月以降分）'!AA354</f>
        <v>7</v>
      </c>
      <c r="AB354" s="1349" t="s">
        <v>10</v>
      </c>
      <c r="AC354" s="1525">
        <f>'別紙様式2-3（６月以降分）'!AC354</f>
        <v>3</v>
      </c>
      <c r="AD354" s="1349" t="s">
        <v>2020</v>
      </c>
      <c r="AE354" s="1349" t="s">
        <v>20</v>
      </c>
      <c r="AF354" s="1349">
        <f>IF(W354&gt;=1,(AA354*12+AC354)-(W354*12+Y354)+1,"")</f>
        <v>10</v>
      </c>
      <c r="AG354" s="1351" t="s">
        <v>33</v>
      </c>
      <c r="AH354" s="1517" t="str">
        <f>'別紙様式2-3（６月以降分）'!AH354</f>
        <v/>
      </c>
      <c r="AI354" s="1519" t="str">
        <f>'別紙様式2-3（６月以降分）'!AI354</f>
        <v/>
      </c>
      <c r="AJ354" s="1521">
        <f>'別紙様式2-3（６月以降分）'!AJ354</f>
        <v>0</v>
      </c>
      <c r="AK354" s="1523" t="str">
        <f>IF('別紙様式2-3（６月以降分）'!AK354="","",'別紙様式2-3（６月以降分）'!AK354)</f>
        <v/>
      </c>
      <c r="AL354" s="1512">
        <f>'別紙様式2-3（６月以降分）'!AL354</f>
        <v>0</v>
      </c>
      <c r="AM354" s="1514" t="str">
        <f>IF('別紙様式2-3（６月以降分）'!AM354="","",'別紙様式2-3（６月以降分）'!AM354)</f>
        <v/>
      </c>
      <c r="AN354" s="1333" t="str">
        <f>IF('別紙様式2-3（６月以降分）'!AN354="","",'別紙様式2-3（６月以降分）'!AN354)</f>
        <v/>
      </c>
      <c r="AO354" s="1331" t="str">
        <f>IF('別紙様式2-3（６月以降分）'!AO354="","",'別紙様式2-3（６月以降分）'!AO354)</f>
        <v/>
      </c>
      <c r="AP354" s="1333" t="str">
        <f>IF('別紙様式2-3（６月以降分）'!AP354="","",'別紙様式2-3（６月以降分）'!AP354)</f>
        <v/>
      </c>
      <c r="AQ354" s="1481" t="str">
        <f>IF('別紙様式2-3（６月以降分）'!AQ354="","",'別紙様式2-3（６月以降分）'!AQ354)</f>
        <v/>
      </c>
      <c r="AR354" s="1484" t="str">
        <f>IF('別紙様式2-3（６月以降分）'!AR354="","",'別紙様式2-3（６月以降分）'!AR354)</f>
        <v/>
      </c>
      <c r="AS354" s="570" t="str">
        <f t="shared" ref="AS354" si="588">IF(AU356="","",IF(U356&lt;U354,"！加算の要件上は問題ありませんが、令和６年度当初の新加算の加算率と比較して、移行後の加算率が下がる計画になっています。",""))</f>
        <v/>
      </c>
      <c r="AT354" s="577"/>
      <c r="AU354" s="1301"/>
      <c r="AV354" s="555" t="str">
        <f>IF('別紙様式2-2（４・５月分）'!N269="","",'別紙様式2-2（４・５月分）'!N269)</f>
        <v/>
      </c>
      <c r="AW354" s="1305" t="str">
        <f>IF(SUM('別紙様式2-2（４・５月分）'!O269:O271)=0,"",SUM('別紙様式2-2（４・５月分）'!O269:O271))</f>
        <v/>
      </c>
      <c r="AX354" s="1473" t="str">
        <f>IFERROR(VLOOKUP(K354,【参考】数式用!$AH$2:$AI$34,2,FALSE),"")</f>
        <v/>
      </c>
      <c r="AY354" s="493"/>
      <c r="BD354" s="340"/>
      <c r="BE354" s="1303" t="str">
        <f>G354</f>
        <v/>
      </c>
      <c r="BF354" s="1303"/>
      <c r="BG354" s="1303"/>
    </row>
    <row r="355" spans="1:59" ht="15" customHeight="1">
      <c r="A355" s="1267"/>
      <c r="B355" s="1235"/>
      <c r="C355" s="1236"/>
      <c r="D355" s="1236"/>
      <c r="E355" s="1236"/>
      <c r="F355" s="1237"/>
      <c r="G355" s="1252"/>
      <c r="H355" s="1252"/>
      <c r="I355" s="1252"/>
      <c r="J355" s="1415"/>
      <c r="K355" s="1252"/>
      <c r="L355" s="1421"/>
      <c r="M355" s="1371" t="str">
        <f>IF('別紙様式2-2（４・５月分）'!P270="","",'別紙様式2-2（４・５月分）'!P270)</f>
        <v/>
      </c>
      <c r="N355" s="1392"/>
      <c r="O355" s="1398"/>
      <c r="P355" s="1399"/>
      <c r="Q355" s="1400"/>
      <c r="R355" s="1532"/>
      <c r="S355" s="1404"/>
      <c r="T355" s="1528"/>
      <c r="U355" s="1530"/>
      <c r="V355" s="1410"/>
      <c r="W355" s="1526"/>
      <c r="X355" s="1350"/>
      <c r="Y355" s="1526"/>
      <c r="Z355" s="1350"/>
      <c r="AA355" s="1526"/>
      <c r="AB355" s="1350"/>
      <c r="AC355" s="1526"/>
      <c r="AD355" s="1350"/>
      <c r="AE355" s="1350"/>
      <c r="AF355" s="1350"/>
      <c r="AG355" s="1352"/>
      <c r="AH355" s="1518"/>
      <c r="AI355" s="1520"/>
      <c r="AJ355" s="1522"/>
      <c r="AK355" s="1524"/>
      <c r="AL355" s="1513"/>
      <c r="AM355" s="1515"/>
      <c r="AN355" s="1334"/>
      <c r="AO355" s="1516"/>
      <c r="AP355" s="1334"/>
      <c r="AQ355" s="1482"/>
      <c r="AR355" s="1485"/>
      <c r="AS355" s="1483" t="str">
        <f t="shared" ref="AS355" si="589">IF(AU356="","",IF(OR(AA356="",AA356&lt;&gt;7,AC356="",AC356&lt;&gt;3),"！算定期間の終わりが令和７年３月になっていません。年度内の廃止予定等がなければ、算定対象月を令和７年３月にしてください。",""))</f>
        <v/>
      </c>
      <c r="AT355" s="577"/>
      <c r="AU355" s="1303"/>
      <c r="AV355" s="1304" t="str">
        <f>IF('別紙様式2-2（４・５月分）'!N270="","",'別紙様式2-2（４・５月分）'!N270)</f>
        <v/>
      </c>
      <c r="AW355" s="1305"/>
      <c r="AX355" s="1474"/>
      <c r="AY355" s="430"/>
      <c r="BD355" s="340"/>
      <c r="BE355" s="1303" t="str">
        <f>G354</f>
        <v/>
      </c>
      <c r="BF355" s="1303"/>
      <c r="BG355" s="1303"/>
    </row>
    <row r="356" spans="1:59" ht="15" customHeight="1">
      <c r="A356" s="1295"/>
      <c r="B356" s="1235"/>
      <c r="C356" s="1236"/>
      <c r="D356" s="1236"/>
      <c r="E356" s="1236"/>
      <c r="F356" s="1237"/>
      <c r="G356" s="1252"/>
      <c r="H356" s="1252"/>
      <c r="I356" s="1252"/>
      <c r="J356" s="1415"/>
      <c r="K356" s="1252"/>
      <c r="L356" s="1421"/>
      <c r="M356" s="1372"/>
      <c r="N356" s="1393"/>
      <c r="O356" s="1373" t="s">
        <v>2025</v>
      </c>
      <c r="P356" s="1425" t="str">
        <f>IFERROR(VLOOKUP('別紙様式2-2（４・５月分）'!AQ269,【参考】数式用!$AR$5:$AT$22,3,FALSE),"")</f>
        <v/>
      </c>
      <c r="Q356" s="1377" t="s">
        <v>2036</v>
      </c>
      <c r="R356" s="1508" t="str">
        <f>IFERROR(VLOOKUP(K354,【参考】数式用!$A$5:$AB$37,MATCH(P356,【参考】数式用!$B$4:$AB$4,0)+1,0),"")</f>
        <v/>
      </c>
      <c r="S356" s="1381" t="s">
        <v>2109</v>
      </c>
      <c r="T356" s="1510"/>
      <c r="U356" s="1506" t="str">
        <f>IFERROR(VLOOKUP(K354,【参考】数式用!$A$5:$AB$37,MATCH(T356,【参考】数式用!$B$4:$AB$4,0)+1,0),"")</f>
        <v/>
      </c>
      <c r="V356" s="1387" t="s">
        <v>15</v>
      </c>
      <c r="W356" s="1504"/>
      <c r="X356" s="1363" t="s">
        <v>10</v>
      </c>
      <c r="Y356" s="1504"/>
      <c r="Z356" s="1363" t="s">
        <v>38</v>
      </c>
      <c r="AA356" s="1504"/>
      <c r="AB356" s="1363" t="s">
        <v>10</v>
      </c>
      <c r="AC356" s="1504"/>
      <c r="AD356" s="1363" t="s">
        <v>2020</v>
      </c>
      <c r="AE356" s="1363" t="s">
        <v>20</v>
      </c>
      <c r="AF356" s="1363" t="str">
        <f>IF(W356&gt;=1,(AA356*12+AC356)-(W356*12+Y356)+1,"")</f>
        <v/>
      </c>
      <c r="AG356" s="1359" t="s">
        <v>33</v>
      </c>
      <c r="AH356" s="1365" t="str">
        <f t="shared" ref="AH356" si="590">IFERROR(ROUNDDOWN(ROUND(L354*U356,0),0)*AF356,"")</f>
        <v/>
      </c>
      <c r="AI356" s="1498" t="str">
        <f t="shared" ref="AI356" si="591">IFERROR(ROUNDDOWN(ROUND((L354*(U356-AW354)),0),0)*AF356,"")</f>
        <v/>
      </c>
      <c r="AJ356" s="1369" t="str">
        <f>IFERROR(ROUNDDOWN(ROUNDDOWN(ROUND(L354*VLOOKUP(K354,【参考】数式用!$A$5:$AB$27,MATCH("新加算Ⅳ",【参考】数式用!$B$4:$AB$4,0)+1,0),0),0)*AF356*0.5,0),"")</f>
        <v/>
      </c>
      <c r="AK356" s="1500"/>
      <c r="AL356" s="1502" t="str">
        <f>IFERROR(IF('別紙様式2-2（４・５月分）'!P356="ベア加算","", IF(OR(T356="新加算Ⅰ",T356="新加算Ⅱ",T356="新加算Ⅲ",T356="新加算Ⅳ"),ROUNDDOWN(ROUND(L354*VLOOKUP(K354,【参考】数式用!$A$5:$I$27,MATCH("ベア加算",【参考】数式用!$B$4:$I$4,0)+1,0),0),0)*AF356,"")),"")</f>
        <v/>
      </c>
      <c r="AM356" s="1494"/>
      <c r="AN356" s="1475"/>
      <c r="AO356" s="1496"/>
      <c r="AP356" s="1475"/>
      <c r="AQ356" s="1477"/>
      <c r="AR356" s="1479"/>
      <c r="AS356" s="1483"/>
      <c r="AT356" s="451"/>
      <c r="AU356" s="1303" t="str">
        <f>IF(AND(AA354&lt;&gt;7,AC354&lt;&gt;3),"V列に色付け","")</f>
        <v/>
      </c>
      <c r="AV356" s="1304"/>
      <c r="AW356" s="1305"/>
      <c r="AX356" s="574"/>
      <c r="AY356" s="1222" t="str">
        <f>IF(AL356&lt;&gt;"",IF(AM356="○","入力済","未入力"),"")</f>
        <v/>
      </c>
      <c r="AZ356" s="1222"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2" t="str">
        <f>IF(OR(T356="新加算Ⅴ（７）",T356="新加算Ⅴ（９）",T356="新加算Ⅴ（10）",T356="新加算Ⅴ（12）",T356="新加算Ⅴ（13）",T356="新加算Ⅴ（14）"),IF(OR(AO356="○",AO356="令和６年度中に満たす"),"入力済","未入力"),"")</f>
        <v/>
      </c>
      <c r="BB356" s="1222" t="str">
        <f>IF(OR(T356="新加算Ⅰ",T356="新加算Ⅱ",T356="新加算Ⅲ",T356="新加算Ⅴ（１）",T356="新加算Ⅴ（３）",T356="新加算Ⅴ（８）"),IF(OR(AP356="○",AP356="令和６年度中に満たす"),"入力済","未入力"),"")</f>
        <v/>
      </c>
      <c r="BC356" s="1472"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03" t="str">
        <f>IF(OR(T356="新加算Ⅰ",T356="新加算Ⅴ（１）",T356="新加算Ⅴ（２）",T356="新加算Ⅴ（５）",T356="新加算Ⅴ（７）",T356="新加算Ⅴ（10）"),IF(AR356="","未入力","入力済"),"")</f>
        <v/>
      </c>
      <c r="BE356" s="1303" t="str">
        <f>G354</f>
        <v/>
      </c>
      <c r="BF356" s="1303"/>
      <c r="BG356" s="1303"/>
    </row>
    <row r="357" spans="1:59" ht="30" customHeight="1" thickBot="1">
      <c r="A357" s="1268"/>
      <c r="B357" s="1411"/>
      <c r="C357" s="1412"/>
      <c r="D357" s="1412"/>
      <c r="E357" s="1412"/>
      <c r="F357" s="1413"/>
      <c r="G357" s="1253"/>
      <c r="H357" s="1253"/>
      <c r="I357" s="1253"/>
      <c r="J357" s="1416"/>
      <c r="K357" s="1253"/>
      <c r="L357" s="1422"/>
      <c r="M357" s="553" t="str">
        <f>IF('別紙様式2-2（４・５月分）'!P271="","",'別紙様式2-2（４・５月分）'!P271)</f>
        <v/>
      </c>
      <c r="N357" s="1394"/>
      <c r="O357" s="1374"/>
      <c r="P357" s="1426"/>
      <c r="Q357" s="1378"/>
      <c r="R357" s="1509"/>
      <c r="S357" s="1382"/>
      <c r="T357" s="1511"/>
      <c r="U357" s="1507"/>
      <c r="V357" s="1388"/>
      <c r="W357" s="1505"/>
      <c r="X357" s="1364"/>
      <c r="Y357" s="1505"/>
      <c r="Z357" s="1364"/>
      <c r="AA357" s="1505"/>
      <c r="AB357" s="1364"/>
      <c r="AC357" s="1505"/>
      <c r="AD357" s="1364"/>
      <c r="AE357" s="1364"/>
      <c r="AF357" s="1364"/>
      <c r="AG357" s="1360"/>
      <c r="AH357" s="1366"/>
      <c r="AI357" s="1499"/>
      <c r="AJ357" s="1370"/>
      <c r="AK357" s="1501"/>
      <c r="AL357" s="1503"/>
      <c r="AM357" s="1495"/>
      <c r="AN357" s="1476"/>
      <c r="AO357" s="1497"/>
      <c r="AP357" s="1476"/>
      <c r="AQ357" s="1478"/>
      <c r="AR357" s="1480"/>
      <c r="AS357" s="575"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1"/>
      <c r="AU357" s="1303"/>
      <c r="AV357" s="555" t="str">
        <f>IF('別紙様式2-2（４・５月分）'!N271="","",'別紙様式2-2（４・５月分）'!N271)</f>
        <v/>
      </c>
      <c r="AW357" s="1305"/>
      <c r="AX357" s="576"/>
      <c r="AY357" s="1222" t="str">
        <f>IF(OR(T357="新加算Ⅰ",T357="新加算Ⅱ",T357="新加算Ⅲ",T357="新加算Ⅳ",T357="新加算Ⅴ（１）",T357="新加算Ⅴ（２）",T357="新加算Ⅴ（３）",T357="新加算ⅠⅤ（４）",T357="新加算Ⅴ（５）",T357="新加算Ⅴ（６）",T357="新加算Ⅴ（８）",T357="新加算Ⅴ（11）"),IF(AI357="○","","未入力"),"")</f>
        <v/>
      </c>
      <c r="AZ357" s="1222" t="str">
        <f>IF(OR(U357="新加算Ⅰ",U357="新加算Ⅱ",U357="新加算Ⅲ",U357="新加算Ⅳ",U357="新加算Ⅴ（１）",U357="新加算Ⅴ（２）",U357="新加算Ⅴ（３）",U357="新加算ⅠⅤ（４）",U357="新加算Ⅴ（５）",U357="新加算Ⅴ（６）",U357="新加算Ⅴ（８）",U357="新加算Ⅴ（11）"),IF(AJ357="○","","未入力"),"")</f>
        <v/>
      </c>
      <c r="BA357" s="1222" t="str">
        <f>IF(OR(U357="新加算Ⅴ（７）",U357="新加算Ⅴ（９）",U357="新加算Ⅴ（10）",U357="新加算Ⅴ（12）",U357="新加算Ⅴ（13）",U357="新加算Ⅴ（14）"),IF(AK357="○","","未入力"),"")</f>
        <v/>
      </c>
      <c r="BB357" s="1222" t="str">
        <f>IF(OR(U357="新加算Ⅰ",U357="新加算Ⅱ",U357="新加算Ⅲ",U357="新加算Ⅴ（１）",U357="新加算Ⅴ（３）",U357="新加算Ⅴ（８）"),IF(AL357="○","","未入力"),"")</f>
        <v/>
      </c>
      <c r="BC357" s="1472"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03" t="str">
        <f>IF(AND(T357&lt;&gt;"（参考）令和７年度の移行予定",OR(U357="新加算Ⅰ",U357="新加算Ⅴ（１）",U357="新加算Ⅴ（２）",U357="新加算Ⅴ（５）",U357="新加算Ⅴ（７）",U357="新加算Ⅴ（10）")),IF(AN357="","未入力",IF(AN357="いずれも取得していない","要件を満たさない","")),"")</f>
        <v/>
      </c>
      <c r="BE357" s="1303" t="str">
        <f>G354</f>
        <v/>
      </c>
      <c r="BF357" s="1303"/>
      <c r="BG357" s="1303"/>
    </row>
    <row r="358" spans="1:59" ht="30" customHeight="1">
      <c r="A358" s="1266">
        <v>87</v>
      </c>
      <c r="B358" s="1232" t="str">
        <f>IF(基本情報入力シート!C140="","",基本情報入力シート!C140)</f>
        <v/>
      </c>
      <c r="C358" s="1233"/>
      <c r="D358" s="1233"/>
      <c r="E358" s="1233"/>
      <c r="F358" s="1234"/>
      <c r="G358" s="1251" t="str">
        <f>IF(基本情報入力シート!M140="","",基本情報入力シート!M140)</f>
        <v/>
      </c>
      <c r="H358" s="1251" t="str">
        <f>IF(基本情報入力シート!R140="","",基本情報入力シート!R140)</f>
        <v/>
      </c>
      <c r="I358" s="1251" t="str">
        <f>IF(基本情報入力シート!W140="","",基本情報入力シート!W140)</f>
        <v/>
      </c>
      <c r="J358" s="1414" t="str">
        <f>IF(基本情報入力シート!X140="","",基本情報入力シート!X140)</f>
        <v/>
      </c>
      <c r="K358" s="1251" t="str">
        <f>IF(基本情報入力シート!Y140="","",基本情報入力シート!Y140)</f>
        <v/>
      </c>
      <c r="L358" s="1427" t="str">
        <f>IF(基本情報入力シート!AB140="","",基本情報入力シート!AB140)</f>
        <v/>
      </c>
      <c r="M358" s="550" t="str">
        <f>IF('別紙様式2-2（４・５月分）'!P272="","",'別紙様式2-2（４・５月分）'!P272)</f>
        <v/>
      </c>
      <c r="N358" s="1391" t="str">
        <f>IF(SUM('別紙様式2-2（４・５月分）'!Q272:Q274)=0,"",SUM('別紙様式2-2（４・５月分）'!Q272:Q274))</f>
        <v/>
      </c>
      <c r="O358" s="1395" t="str">
        <f>IFERROR(VLOOKUP('別紙様式2-2（４・５月分）'!AQ272,【参考】数式用!$AR$5:$AS$22,2,FALSE),"")</f>
        <v/>
      </c>
      <c r="P358" s="1396"/>
      <c r="Q358" s="1397"/>
      <c r="R358" s="1531" t="str">
        <f>IFERROR(VLOOKUP(K358,【参考】数式用!$A$5:$AB$37,MATCH(O358,【参考】数式用!$B$4:$AB$4,0)+1,0),"")</f>
        <v/>
      </c>
      <c r="S358" s="1403" t="s">
        <v>2102</v>
      </c>
      <c r="T358" s="1527" t="str">
        <f>IF('別紙様式2-3（６月以降分）'!T358="","",'別紙様式2-3（６月以降分）'!T358)</f>
        <v/>
      </c>
      <c r="U358" s="1529" t="str">
        <f>IFERROR(VLOOKUP(K358,【参考】数式用!$A$5:$AB$37,MATCH(T358,【参考】数式用!$B$4:$AB$4,0)+1,0),"")</f>
        <v/>
      </c>
      <c r="V358" s="1409" t="s">
        <v>15</v>
      </c>
      <c r="W358" s="1525">
        <f>'別紙様式2-3（６月以降分）'!W358</f>
        <v>6</v>
      </c>
      <c r="X358" s="1349" t="s">
        <v>10</v>
      </c>
      <c r="Y358" s="1525">
        <f>'別紙様式2-3（６月以降分）'!Y358</f>
        <v>6</v>
      </c>
      <c r="Z358" s="1349" t="s">
        <v>38</v>
      </c>
      <c r="AA358" s="1525">
        <f>'別紙様式2-3（６月以降分）'!AA358</f>
        <v>7</v>
      </c>
      <c r="AB358" s="1349" t="s">
        <v>10</v>
      </c>
      <c r="AC358" s="1525">
        <f>'別紙様式2-3（６月以降分）'!AC358</f>
        <v>3</v>
      </c>
      <c r="AD358" s="1349" t="s">
        <v>2020</v>
      </c>
      <c r="AE358" s="1349" t="s">
        <v>20</v>
      </c>
      <c r="AF358" s="1349">
        <f>IF(W358&gt;=1,(AA358*12+AC358)-(W358*12+Y358)+1,"")</f>
        <v>10</v>
      </c>
      <c r="AG358" s="1351" t="s">
        <v>33</v>
      </c>
      <c r="AH358" s="1517" t="str">
        <f>'別紙様式2-3（６月以降分）'!AH358</f>
        <v/>
      </c>
      <c r="AI358" s="1519" t="str">
        <f>'別紙様式2-3（６月以降分）'!AI358</f>
        <v/>
      </c>
      <c r="AJ358" s="1521">
        <f>'別紙様式2-3（６月以降分）'!AJ358</f>
        <v>0</v>
      </c>
      <c r="AK358" s="1523" t="str">
        <f>IF('別紙様式2-3（６月以降分）'!AK358="","",'別紙様式2-3（６月以降分）'!AK358)</f>
        <v/>
      </c>
      <c r="AL358" s="1512">
        <f>'別紙様式2-3（６月以降分）'!AL358</f>
        <v>0</v>
      </c>
      <c r="AM358" s="1514" t="str">
        <f>IF('別紙様式2-3（６月以降分）'!AM358="","",'別紙様式2-3（６月以降分）'!AM358)</f>
        <v/>
      </c>
      <c r="AN358" s="1333" t="str">
        <f>IF('別紙様式2-3（６月以降分）'!AN358="","",'別紙様式2-3（６月以降分）'!AN358)</f>
        <v/>
      </c>
      <c r="AO358" s="1331" t="str">
        <f>IF('別紙様式2-3（６月以降分）'!AO358="","",'別紙様式2-3（６月以降分）'!AO358)</f>
        <v/>
      </c>
      <c r="AP358" s="1333" t="str">
        <f>IF('別紙様式2-3（６月以降分）'!AP358="","",'別紙様式2-3（６月以降分）'!AP358)</f>
        <v/>
      </c>
      <c r="AQ358" s="1481" t="str">
        <f>IF('別紙様式2-3（６月以降分）'!AQ358="","",'別紙様式2-3（６月以降分）'!AQ358)</f>
        <v/>
      </c>
      <c r="AR358" s="1484" t="str">
        <f>IF('別紙様式2-3（６月以降分）'!AR358="","",'別紙様式2-3（６月以降分）'!AR358)</f>
        <v/>
      </c>
      <c r="AS358" s="570" t="str">
        <f t="shared" ref="AS358" si="595">IF(AU360="","",IF(U360&lt;U358,"！加算の要件上は問題ありませんが、令和６年度当初の新加算の加算率と比較して、移行後の加算率が下がる計画になっています。",""))</f>
        <v/>
      </c>
      <c r="AT358" s="577"/>
      <c r="AU358" s="1301"/>
      <c r="AV358" s="555" t="str">
        <f>IF('別紙様式2-2（４・５月分）'!N272="","",'別紙様式2-2（４・５月分）'!N272)</f>
        <v/>
      </c>
      <c r="AW358" s="1305" t="str">
        <f>IF(SUM('別紙様式2-2（４・５月分）'!O272:O274)=0,"",SUM('別紙様式2-2（４・５月分）'!O272:O274))</f>
        <v/>
      </c>
      <c r="AX358" s="1473" t="str">
        <f>IFERROR(VLOOKUP(K358,【参考】数式用!$AH$2:$AI$34,2,FALSE),"")</f>
        <v/>
      </c>
      <c r="AY358" s="493"/>
      <c r="BD358" s="340"/>
      <c r="BE358" s="1303" t="str">
        <f>G358</f>
        <v/>
      </c>
      <c r="BF358" s="1303"/>
      <c r="BG358" s="1303"/>
    </row>
    <row r="359" spans="1:59" ht="15" customHeight="1">
      <c r="A359" s="1267"/>
      <c r="B359" s="1235"/>
      <c r="C359" s="1236"/>
      <c r="D359" s="1236"/>
      <c r="E359" s="1236"/>
      <c r="F359" s="1237"/>
      <c r="G359" s="1252"/>
      <c r="H359" s="1252"/>
      <c r="I359" s="1252"/>
      <c r="J359" s="1415"/>
      <c r="K359" s="1252"/>
      <c r="L359" s="1421"/>
      <c r="M359" s="1371" t="str">
        <f>IF('別紙様式2-2（４・５月分）'!P273="","",'別紙様式2-2（４・５月分）'!P273)</f>
        <v/>
      </c>
      <c r="N359" s="1392"/>
      <c r="O359" s="1398"/>
      <c r="P359" s="1399"/>
      <c r="Q359" s="1400"/>
      <c r="R359" s="1532"/>
      <c r="S359" s="1404"/>
      <c r="T359" s="1528"/>
      <c r="U359" s="1530"/>
      <c r="V359" s="1410"/>
      <c r="W359" s="1526"/>
      <c r="X359" s="1350"/>
      <c r="Y359" s="1526"/>
      <c r="Z359" s="1350"/>
      <c r="AA359" s="1526"/>
      <c r="AB359" s="1350"/>
      <c r="AC359" s="1526"/>
      <c r="AD359" s="1350"/>
      <c r="AE359" s="1350"/>
      <c r="AF359" s="1350"/>
      <c r="AG359" s="1352"/>
      <c r="AH359" s="1518"/>
      <c r="AI359" s="1520"/>
      <c r="AJ359" s="1522"/>
      <c r="AK359" s="1524"/>
      <c r="AL359" s="1513"/>
      <c r="AM359" s="1515"/>
      <c r="AN359" s="1334"/>
      <c r="AO359" s="1516"/>
      <c r="AP359" s="1334"/>
      <c r="AQ359" s="1482"/>
      <c r="AR359" s="1485"/>
      <c r="AS359" s="1483" t="str">
        <f t="shared" ref="AS359" si="596">IF(AU360="","",IF(OR(AA360="",AA360&lt;&gt;7,AC360="",AC360&lt;&gt;3),"！算定期間の終わりが令和７年３月になっていません。年度内の廃止予定等がなければ、算定対象月を令和７年３月にしてください。",""))</f>
        <v/>
      </c>
      <c r="AT359" s="577"/>
      <c r="AU359" s="1303"/>
      <c r="AV359" s="1304" t="str">
        <f>IF('別紙様式2-2（４・５月分）'!N273="","",'別紙様式2-2（４・５月分）'!N273)</f>
        <v/>
      </c>
      <c r="AW359" s="1305"/>
      <c r="AX359" s="1474"/>
      <c r="AY359" s="430"/>
      <c r="BD359" s="340"/>
      <c r="BE359" s="1303" t="str">
        <f>G358</f>
        <v/>
      </c>
      <c r="BF359" s="1303"/>
      <c r="BG359" s="1303"/>
    </row>
    <row r="360" spans="1:59" ht="15" customHeight="1">
      <c r="A360" s="1295"/>
      <c r="B360" s="1235"/>
      <c r="C360" s="1236"/>
      <c r="D360" s="1236"/>
      <c r="E360" s="1236"/>
      <c r="F360" s="1237"/>
      <c r="G360" s="1252"/>
      <c r="H360" s="1252"/>
      <c r="I360" s="1252"/>
      <c r="J360" s="1415"/>
      <c r="K360" s="1252"/>
      <c r="L360" s="1421"/>
      <c r="M360" s="1372"/>
      <c r="N360" s="1393"/>
      <c r="O360" s="1373" t="s">
        <v>2025</v>
      </c>
      <c r="P360" s="1425" t="str">
        <f>IFERROR(VLOOKUP('別紙様式2-2（４・５月分）'!AQ272,【参考】数式用!$AR$5:$AT$22,3,FALSE),"")</f>
        <v/>
      </c>
      <c r="Q360" s="1377" t="s">
        <v>2036</v>
      </c>
      <c r="R360" s="1508" t="str">
        <f>IFERROR(VLOOKUP(K358,【参考】数式用!$A$5:$AB$37,MATCH(P360,【参考】数式用!$B$4:$AB$4,0)+1,0),"")</f>
        <v/>
      </c>
      <c r="S360" s="1381" t="s">
        <v>2109</v>
      </c>
      <c r="T360" s="1510"/>
      <c r="U360" s="1506" t="str">
        <f>IFERROR(VLOOKUP(K358,【参考】数式用!$A$5:$AB$37,MATCH(T360,【参考】数式用!$B$4:$AB$4,0)+1,0),"")</f>
        <v/>
      </c>
      <c r="V360" s="1387" t="s">
        <v>15</v>
      </c>
      <c r="W360" s="1504"/>
      <c r="X360" s="1363" t="s">
        <v>10</v>
      </c>
      <c r="Y360" s="1504"/>
      <c r="Z360" s="1363" t="s">
        <v>38</v>
      </c>
      <c r="AA360" s="1504"/>
      <c r="AB360" s="1363" t="s">
        <v>10</v>
      </c>
      <c r="AC360" s="1504"/>
      <c r="AD360" s="1363" t="s">
        <v>2020</v>
      </c>
      <c r="AE360" s="1363" t="s">
        <v>20</v>
      </c>
      <c r="AF360" s="1363" t="str">
        <f>IF(W360&gt;=1,(AA360*12+AC360)-(W360*12+Y360)+1,"")</f>
        <v/>
      </c>
      <c r="AG360" s="1359" t="s">
        <v>33</v>
      </c>
      <c r="AH360" s="1365" t="str">
        <f t="shared" ref="AH360" si="597">IFERROR(ROUNDDOWN(ROUND(L358*U360,0),0)*AF360,"")</f>
        <v/>
      </c>
      <c r="AI360" s="1498" t="str">
        <f t="shared" ref="AI360" si="598">IFERROR(ROUNDDOWN(ROUND((L358*(U360-AW358)),0),0)*AF360,"")</f>
        <v/>
      </c>
      <c r="AJ360" s="1369" t="str">
        <f>IFERROR(ROUNDDOWN(ROUNDDOWN(ROUND(L358*VLOOKUP(K358,【参考】数式用!$A$5:$AB$27,MATCH("新加算Ⅳ",【参考】数式用!$B$4:$AB$4,0)+1,0),0),0)*AF360*0.5,0),"")</f>
        <v/>
      </c>
      <c r="AK360" s="1500"/>
      <c r="AL360" s="1502" t="str">
        <f>IFERROR(IF('別紙様式2-2（４・５月分）'!P360="ベア加算","", IF(OR(T360="新加算Ⅰ",T360="新加算Ⅱ",T360="新加算Ⅲ",T360="新加算Ⅳ"),ROUNDDOWN(ROUND(L358*VLOOKUP(K358,【参考】数式用!$A$5:$I$27,MATCH("ベア加算",【参考】数式用!$B$4:$I$4,0)+1,0),0),0)*AF360,"")),"")</f>
        <v/>
      </c>
      <c r="AM360" s="1494"/>
      <c r="AN360" s="1475"/>
      <c r="AO360" s="1496"/>
      <c r="AP360" s="1475"/>
      <c r="AQ360" s="1477"/>
      <c r="AR360" s="1479"/>
      <c r="AS360" s="1483"/>
      <c r="AT360" s="451"/>
      <c r="AU360" s="1303" t="str">
        <f>IF(AND(AA358&lt;&gt;7,AC358&lt;&gt;3),"V列に色付け","")</f>
        <v/>
      </c>
      <c r="AV360" s="1304"/>
      <c r="AW360" s="1305"/>
      <c r="AX360" s="574"/>
      <c r="AY360" s="1222" t="str">
        <f>IF(AL360&lt;&gt;"",IF(AM360="○","入力済","未入力"),"")</f>
        <v/>
      </c>
      <c r="AZ360" s="1222"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2" t="str">
        <f>IF(OR(T360="新加算Ⅴ（７）",T360="新加算Ⅴ（９）",T360="新加算Ⅴ（10）",T360="新加算Ⅴ（12）",T360="新加算Ⅴ（13）",T360="新加算Ⅴ（14）"),IF(OR(AO360="○",AO360="令和６年度中に満たす"),"入力済","未入力"),"")</f>
        <v/>
      </c>
      <c r="BB360" s="1222" t="str">
        <f>IF(OR(T360="新加算Ⅰ",T360="新加算Ⅱ",T360="新加算Ⅲ",T360="新加算Ⅴ（１）",T360="新加算Ⅴ（３）",T360="新加算Ⅴ（８）"),IF(OR(AP360="○",AP360="令和６年度中に満たす"),"入力済","未入力"),"")</f>
        <v/>
      </c>
      <c r="BC360" s="1472"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03" t="str">
        <f>IF(OR(T360="新加算Ⅰ",T360="新加算Ⅴ（１）",T360="新加算Ⅴ（２）",T360="新加算Ⅴ（５）",T360="新加算Ⅴ（７）",T360="新加算Ⅴ（10）"),IF(AR360="","未入力","入力済"),"")</f>
        <v/>
      </c>
      <c r="BE360" s="1303" t="str">
        <f>G358</f>
        <v/>
      </c>
      <c r="BF360" s="1303"/>
      <c r="BG360" s="1303"/>
    </row>
    <row r="361" spans="1:59" ht="30" customHeight="1" thickBot="1">
      <c r="A361" s="1268"/>
      <c r="B361" s="1411"/>
      <c r="C361" s="1412"/>
      <c r="D361" s="1412"/>
      <c r="E361" s="1412"/>
      <c r="F361" s="1413"/>
      <c r="G361" s="1253"/>
      <c r="H361" s="1253"/>
      <c r="I361" s="1253"/>
      <c r="J361" s="1416"/>
      <c r="K361" s="1253"/>
      <c r="L361" s="1422"/>
      <c r="M361" s="553" t="str">
        <f>IF('別紙様式2-2（４・５月分）'!P274="","",'別紙様式2-2（４・５月分）'!P274)</f>
        <v/>
      </c>
      <c r="N361" s="1394"/>
      <c r="O361" s="1374"/>
      <c r="P361" s="1426"/>
      <c r="Q361" s="1378"/>
      <c r="R361" s="1509"/>
      <c r="S361" s="1382"/>
      <c r="T361" s="1511"/>
      <c r="U361" s="1507"/>
      <c r="V361" s="1388"/>
      <c r="W361" s="1505"/>
      <c r="X361" s="1364"/>
      <c r="Y361" s="1505"/>
      <c r="Z361" s="1364"/>
      <c r="AA361" s="1505"/>
      <c r="AB361" s="1364"/>
      <c r="AC361" s="1505"/>
      <c r="AD361" s="1364"/>
      <c r="AE361" s="1364"/>
      <c r="AF361" s="1364"/>
      <c r="AG361" s="1360"/>
      <c r="AH361" s="1366"/>
      <c r="AI361" s="1499"/>
      <c r="AJ361" s="1370"/>
      <c r="AK361" s="1501"/>
      <c r="AL361" s="1503"/>
      <c r="AM361" s="1495"/>
      <c r="AN361" s="1476"/>
      <c r="AO361" s="1497"/>
      <c r="AP361" s="1476"/>
      <c r="AQ361" s="1478"/>
      <c r="AR361" s="1480"/>
      <c r="AS361" s="575"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1"/>
      <c r="AU361" s="1303"/>
      <c r="AV361" s="555" t="str">
        <f>IF('別紙様式2-2（４・５月分）'!N274="","",'別紙様式2-2（４・５月分）'!N274)</f>
        <v/>
      </c>
      <c r="AW361" s="1305"/>
      <c r="AX361" s="576"/>
      <c r="AY361" s="1222" t="str">
        <f>IF(OR(T361="新加算Ⅰ",T361="新加算Ⅱ",T361="新加算Ⅲ",T361="新加算Ⅳ",T361="新加算Ⅴ（１）",T361="新加算Ⅴ（２）",T361="新加算Ⅴ（３）",T361="新加算ⅠⅤ（４）",T361="新加算Ⅴ（５）",T361="新加算Ⅴ（６）",T361="新加算Ⅴ（８）",T361="新加算Ⅴ（11）"),IF(AI361="○","","未入力"),"")</f>
        <v/>
      </c>
      <c r="AZ361" s="1222" t="str">
        <f>IF(OR(U361="新加算Ⅰ",U361="新加算Ⅱ",U361="新加算Ⅲ",U361="新加算Ⅳ",U361="新加算Ⅴ（１）",U361="新加算Ⅴ（２）",U361="新加算Ⅴ（３）",U361="新加算ⅠⅤ（４）",U361="新加算Ⅴ（５）",U361="新加算Ⅴ（６）",U361="新加算Ⅴ（８）",U361="新加算Ⅴ（11）"),IF(AJ361="○","","未入力"),"")</f>
        <v/>
      </c>
      <c r="BA361" s="1222" t="str">
        <f>IF(OR(U361="新加算Ⅴ（７）",U361="新加算Ⅴ（９）",U361="新加算Ⅴ（10）",U361="新加算Ⅴ（12）",U361="新加算Ⅴ（13）",U361="新加算Ⅴ（14）"),IF(AK361="○","","未入力"),"")</f>
        <v/>
      </c>
      <c r="BB361" s="1222" t="str">
        <f>IF(OR(U361="新加算Ⅰ",U361="新加算Ⅱ",U361="新加算Ⅲ",U361="新加算Ⅴ（１）",U361="新加算Ⅴ（３）",U361="新加算Ⅴ（８）"),IF(AL361="○","","未入力"),"")</f>
        <v/>
      </c>
      <c r="BC361" s="1472"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03" t="str">
        <f>IF(AND(T361&lt;&gt;"（参考）令和７年度の移行予定",OR(U361="新加算Ⅰ",U361="新加算Ⅴ（１）",U361="新加算Ⅴ（２）",U361="新加算Ⅴ（５）",U361="新加算Ⅴ（７）",U361="新加算Ⅴ（10）")),IF(AN361="","未入力",IF(AN361="いずれも取得していない","要件を満たさない","")),"")</f>
        <v/>
      </c>
      <c r="BE361" s="1303" t="str">
        <f>G358</f>
        <v/>
      </c>
      <c r="BF361" s="1303"/>
      <c r="BG361" s="1303"/>
    </row>
    <row r="362" spans="1:59" ht="30" customHeight="1">
      <c r="A362" s="1293">
        <v>88</v>
      </c>
      <c r="B362" s="1235" t="str">
        <f>IF(基本情報入力シート!C141="","",基本情報入力シート!C141)</f>
        <v/>
      </c>
      <c r="C362" s="1236"/>
      <c r="D362" s="1236"/>
      <c r="E362" s="1236"/>
      <c r="F362" s="1237"/>
      <c r="G362" s="1252" t="str">
        <f>IF(基本情報入力シート!M141="","",基本情報入力シート!M141)</f>
        <v/>
      </c>
      <c r="H362" s="1252" t="str">
        <f>IF(基本情報入力シート!R141="","",基本情報入力シート!R141)</f>
        <v/>
      </c>
      <c r="I362" s="1252" t="str">
        <f>IF(基本情報入力シート!W141="","",基本情報入力シート!W141)</f>
        <v/>
      </c>
      <c r="J362" s="1415" t="str">
        <f>IF(基本情報入力シート!X141="","",基本情報入力シート!X141)</f>
        <v/>
      </c>
      <c r="K362" s="1252" t="str">
        <f>IF(基本情報入力シート!Y141="","",基本情報入力シート!Y141)</f>
        <v/>
      </c>
      <c r="L362" s="1421" t="str">
        <f>IF(基本情報入力シート!AB141="","",基本情報入力シート!AB141)</f>
        <v/>
      </c>
      <c r="M362" s="550" t="str">
        <f>IF('別紙様式2-2（４・５月分）'!P275="","",'別紙様式2-2（４・５月分）'!P275)</f>
        <v/>
      </c>
      <c r="N362" s="1391" t="str">
        <f>IF(SUM('別紙様式2-2（４・５月分）'!Q275:Q277)=0,"",SUM('別紙様式2-2（４・５月分）'!Q275:Q277))</f>
        <v/>
      </c>
      <c r="O362" s="1395" t="str">
        <f>IFERROR(VLOOKUP('別紙様式2-2（４・５月分）'!AQ275,【参考】数式用!$AR$5:$AS$22,2,FALSE),"")</f>
        <v/>
      </c>
      <c r="P362" s="1396"/>
      <c r="Q362" s="1397"/>
      <c r="R362" s="1531" t="str">
        <f>IFERROR(VLOOKUP(K362,【参考】数式用!$A$5:$AB$37,MATCH(O362,【参考】数式用!$B$4:$AB$4,0)+1,0),"")</f>
        <v/>
      </c>
      <c r="S362" s="1403" t="s">
        <v>2102</v>
      </c>
      <c r="T362" s="1527" t="str">
        <f>IF('別紙様式2-3（６月以降分）'!T362="","",'別紙様式2-3（６月以降分）'!T362)</f>
        <v/>
      </c>
      <c r="U362" s="1529" t="str">
        <f>IFERROR(VLOOKUP(K362,【参考】数式用!$A$5:$AB$37,MATCH(T362,【参考】数式用!$B$4:$AB$4,0)+1,0),"")</f>
        <v/>
      </c>
      <c r="V362" s="1409" t="s">
        <v>15</v>
      </c>
      <c r="W362" s="1525">
        <f>'別紙様式2-3（６月以降分）'!W362</f>
        <v>6</v>
      </c>
      <c r="X362" s="1349" t="s">
        <v>10</v>
      </c>
      <c r="Y362" s="1525">
        <f>'別紙様式2-3（６月以降分）'!Y362</f>
        <v>6</v>
      </c>
      <c r="Z362" s="1349" t="s">
        <v>38</v>
      </c>
      <c r="AA362" s="1525">
        <f>'別紙様式2-3（６月以降分）'!AA362</f>
        <v>7</v>
      </c>
      <c r="AB362" s="1349" t="s">
        <v>10</v>
      </c>
      <c r="AC362" s="1525">
        <f>'別紙様式2-3（６月以降分）'!AC362</f>
        <v>3</v>
      </c>
      <c r="AD362" s="1349" t="s">
        <v>2020</v>
      </c>
      <c r="AE362" s="1349" t="s">
        <v>20</v>
      </c>
      <c r="AF362" s="1349">
        <f>IF(W362&gt;=1,(AA362*12+AC362)-(W362*12+Y362)+1,"")</f>
        <v>10</v>
      </c>
      <c r="AG362" s="1351" t="s">
        <v>33</v>
      </c>
      <c r="AH362" s="1517" t="str">
        <f>'別紙様式2-3（６月以降分）'!AH362</f>
        <v/>
      </c>
      <c r="AI362" s="1519" t="str">
        <f>'別紙様式2-3（６月以降分）'!AI362</f>
        <v/>
      </c>
      <c r="AJ362" s="1521">
        <f>'別紙様式2-3（６月以降分）'!AJ362</f>
        <v>0</v>
      </c>
      <c r="AK362" s="1523" t="str">
        <f>IF('別紙様式2-3（６月以降分）'!AK362="","",'別紙様式2-3（６月以降分）'!AK362)</f>
        <v/>
      </c>
      <c r="AL362" s="1512">
        <f>'別紙様式2-3（６月以降分）'!AL362</f>
        <v>0</v>
      </c>
      <c r="AM362" s="1514" t="str">
        <f>IF('別紙様式2-3（６月以降分）'!AM362="","",'別紙様式2-3（６月以降分）'!AM362)</f>
        <v/>
      </c>
      <c r="AN362" s="1333" t="str">
        <f>IF('別紙様式2-3（６月以降分）'!AN362="","",'別紙様式2-3（６月以降分）'!AN362)</f>
        <v/>
      </c>
      <c r="AO362" s="1331" t="str">
        <f>IF('別紙様式2-3（６月以降分）'!AO362="","",'別紙様式2-3（６月以降分）'!AO362)</f>
        <v/>
      </c>
      <c r="AP362" s="1333" t="str">
        <f>IF('別紙様式2-3（６月以降分）'!AP362="","",'別紙様式2-3（６月以降分）'!AP362)</f>
        <v/>
      </c>
      <c r="AQ362" s="1481" t="str">
        <f>IF('別紙様式2-3（６月以降分）'!AQ362="","",'別紙様式2-3（６月以降分）'!AQ362)</f>
        <v/>
      </c>
      <c r="AR362" s="1484" t="str">
        <f>IF('別紙様式2-3（６月以降分）'!AR362="","",'別紙様式2-3（６月以降分）'!AR362)</f>
        <v/>
      </c>
      <c r="AS362" s="570" t="str">
        <f t="shared" ref="AS362" si="602">IF(AU364="","",IF(U364&lt;U362,"！加算の要件上は問題ありませんが、令和６年度当初の新加算の加算率と比較して、移行後の加算率が下がる計画になっています。",""))</f>
        <v/>
      </c>
      <c r="AT362" s="577"/>
      <c r="AU362" s="1301"/>
      <c r="AV362" s="555" t="str">
        <f>IF('別紙様式2-2（４・５月分）'!N275="","",'別紙様式2-2（４・５月分）'!N275)</f>
        <v/>
      </c>
      <c r="AW362" s="1305" t="str">
        <f>IF(SUM('別紙様式2-2（４・５月分）'!O275:O277)=0,"",SUM('別紙様式2-2（４・５月分）'!O275:O277))</f>
        <v/>
      </c>
      <c r="AX362" s="1473" t="str">
        <f>IFERROR(VLOOKUP(K362,【参考】数式用!$AH$2:$AI$34,2,FALSE),"")</f>
        <v/>
      </c>
      <c r="AY362" s="493"/>
      <c r="BD362" s="340"/>
      <c r="BE362" s="1303" t="str">
        <f>G362</f>
        <v/>
      </c>
      <c r="BF362" s="1303"/>
      <c r="BG362" s="1303"/>
    </row>
    <row r="363" spans="1:59" ht="15" customHeight="1">
      <c r="A363" s="1267"/>
      <c r="B363" s="1235"/>
      <c r="C363" s="1236"/>
      <c r="D363" s="1236"/>
      <c r="E363" s="1236"/>
      <c r="F363" s="1237"/>
      <c r="G363" s="1252"/>
      <c r="H363" s="1252"/>
      <c r="I363" s="1252"/>
      <c r="J363" s="1415"/>
      <c r="K363" s="1252"/>
      <c r="L363" s="1421"/>
      <c r="M363" s="1371" t="str">
        <f>IF('別紙様式2-2（４・５月分）'!P276="","",'別紙様式2-2（４・５月分）'!P276)</f>
        <v/>
      </c>
      <c r="N363" s="1392"/>
      <c r="O363" s="1398"/>
      <c r="P363" s="1399"/>
      <c r="Q363" s="1400"/>
      <c r="R363" s="1532"/>
      <c r="S363" s="1404"/>
      <c r="T363" s="1528"/>
      <c r="U363" s="1530"/>
      <c r="V363" s="1410"/>
      <c r="W363" s="1526"/>
      <c r="X363" s="1350"/>
      <c r="Y363" s="1526"/>
      <c r="Z363" s="1350"/>
      <c r="AA363" s="1526"/>
      <c r="AB363" s="1350"/>
      <c r="AC363" s="1526"/>
      <c r="AD363" s="1350"/>
      <c r="AE363" s="1350"/>
      <c r="AF363" s="1350"/>
      <c r="AG363" s="1352"/>
      <c r="AH363" s="1518"/>
      <c r="AI363" s="1520"/>
      <c r="AJ363" s="1522"/>
      <c r="AK363" s="1524"/>
      <c r="AL363" s="1513"/>
      <c r="AM363" s="1515"/>
      <c r="AN363" s="1334"/>
      <c r="AO363" s="1516"/>
      <c r="AP363" s="1334"/>
      <c r="AQ363" s="1482"/>
      <c r="AR363" s="1485"/>
      <c r="AS363" s="1483" t="str">
        <f t="shared" ref="AS363" si="603">IF(AU364="","",IF(OR(AA364="",AA364&lt;&gt;7,AC364="",AC364&lt;&gt;3),"！算定期間の終わりが令和７年３月になっていません。年度内の廃止予定等がなければ、算定対象月を令和７年３月にしてください。",""))</f>
        <v/>
      </c>
      <c r="AT363" s="577"/>
      <c r="AU363" s="1303"/>
      <c r="AV363" s="1304" t="str">
        <f>IF('別紙様式2-2（４・５月分）'!N276="","",'別紙様式2-2（４・５月分）'!N276)</f>
        <v/>
      </c>
      <c r="AW363" s="1305"/>
      <c r="AX363" s="1474"/>
      <c r="AY363" s="430"/>
      <c r="BD363" s="340"/>
      <c r="BE363" s="1303" t="str">
        <f>G362</f>
        <v/>
      </c>
      <c r="BF363" s="1303"/>
      <c r="BG363" s="1303"/>
    </row>
    <row r="364" spans="1:59" ht="15" customHeight="1">
      <c r="A364" s="1295"/>
      <c r="B364" s="1235"/>
      <c r="C364" s="1236"/>
      <c r="D364" s="1236"/>
      <c r="E364" s="1236"/>
      <c r="F364" s="1237"/>
      <c r="G364" s="1252"/>
      <c r="H364" s="1252"/>
      <c r="I364" s="1252"/>
      <c r="J364" s="1415"/>
      <c r="K364" s="1252"/>
      <c r="L364" s="1421"/>
      <c r="M364" s="1372"/>
      <c r="N364" s="1393"/>
      <c r="O364" s="1373" t="s">
        <v>2025</v>
      </c>
      <c r="P364" s="1425" t="str">
        <f>IFERROR(VLOOKUP('別紙様式2-2（４・５月分）'!AQ275,【参考】数式用!$AR$5:$AT$22,3,FALSE),"")</f>
        <v/>
      </c>
      <c r="Q364" s="1377" t="s">
        <v>2036</v>
      </c>
      <c r="R364" s="1508" t="str">
        <f>IFERROR(VLOOKUP(K362,【参考】数式用!$A$5:$AB$37,MATCH(P364,【参考】数式用!$B$4:$AB$4,0)+1,0),"")</f>
        <v/>
      </c>
      <c r="S364" s="1381" t="s">
        <v>2109</v>
      </c>
      <c r="T364" s="1510"/>
      <c r="U364" s="1506" t="str">
        <f>IFERROR(VLOOKUP(K362,【参考】数式用!$A$5:$AB$37,MATCH(T364,【参考】数式用!$B$4:$AB$4,0)+1,0),"")</f>
        <v/>
      </c>
      <c r="V364" s="1387" t="s">
        <v>15</v>
      </c>
      <c r="W364" s="1504"/>
      <c r="X364" s="1363" t="s">
        <v>10</v>
      </c>
      <c r="Y364" s="1504"/>
      <c r="Z364" s="1363" t="s">
        <v>38</v>
      </c>
      <c r="AA364" s="1504"/>
      <c r="AB364" s="1363" t="s">
        <v>10</v>
      </c>
      <c r="AC364" s="1504"/>
      <c r="AD364" s="1363" t="s">
        <v>2020</v>
      </c>
      <c r="AE364" s="1363" t="s">
        <v>20</v>
      </c>
      <c r="AF364" s="1363" t="str">
        <f>IF(W364&gt;=1,(AA364*12+AC364)-(W364*12+Y364)+1,"")</f>
        <v/>
      </c>
      <c r="AG364" s="1359" t="s">
        <v>33</v>
      </c>
      <c r="AH364" s="1365" t="str">
        <f t="shared" ref="AH364" si="604">IFERROR(ROUNDDOWN(ROUND(L362*U364,0),0)*AF364,"")</f>
        <v/>
      </c>
      <c r="AI364" s="1498" t="str">
        <f t="shared" ref="AI364" si="605">IFERROR(ROUNDDOWN(ROUND((L362*(U364-AW362)),0),0)*AF364,"")</f>
        <v/>
      </c>
      <c r="AJ364" s="1369" t="str">
        <f>IFERROR(ROUNDDOWN(ROUNDDOWN(ROUND(L362*VLOOKUP(K362,【参考】数式用!$A$5:$AB$27,MATCH("新加算Ⅳ",【参考】数式用!$B$4:$AB$4,0)+1,0),0),0)*AF364*0.5,0),"")</f>
        <v/>
      </c>
      <c r="AK364" s="1500"/>
      <c r="AL364" s="1502" t="str">
        <f>IFERROR(IF('別紙様式2-2（４・５月分）'!P364="ベア加算","", IF(OR(T364="新加算Ⅰ",T364="新加算Ⅱ",T364="新加算Ⅲ",T364="新加算Ⅳ"),ROUNDDOWN(ROUND(L362*VLOOKUP(K362,【参考】数式用!$A$5:$I$27,MATCH("ベア加算",【参考】数式用!$B$4:$I$4,0)+1,0),0),0)*AF364,"")),"")</f>
        <v/>
      </c>
      <c r="AM364" s="1494"/>
      <c r="AN364" s="1475"/>
      <c r="AO364" s="1496"/>
      <c r="AP364" s="1475"/>
      <c r="AQ364" s="1477"/>
      <c r="AR364" s="1479"/>
      <c r="AS364" s="1483"/>
      <c r="AT364" s="451"/>
      <c r="AU364" s="1303" t="str">
        <f>IF(AND(AA362&lt;&gt;7,AC362&lt;&gt;3),"V列に色付け","")</f>
        <v/>
      </c>
      <c r="AV364" s="1304"/>
      <c r="AW364" s="1305"/>
      <c r="AX364" s="574"/>
      <c r="AY364" s="1222" t="str">
        <f>IF(AL364&lt;&gt;"",IF(AM364="○","入力済","未入力"),"")</f>
        <v/>
      </c>
      <c r="AZ364" s="1222"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2" t="str">
        <f>IF(OR(T364="新加算Ⅴ（７）",T364="新加算Ⅴ（９）",T364="新加算Ⅴ（10）",T364="新加算Ⅴ（12）",T364="新加算Ⅴ（13）",T364="新加算Ⅴ（14）"),IF(OR(AO364="○",AO364="令和６年度中に満たす"),"入力済","未入力"),"")</f>
        <v/>
      </c>
      <c r="BB364" s="1222" t="str">
        <f>IF(OR(T364="新加算Ⅰ",T364="新加算Ⅱ",T364="新加算Ⅲ",T364="新加算Ⅴ（１）",T364="新加算Ⅴ（３）",T364="新加算Ⅴ（８）"),IF(OR(AP364="○",AP364="令和６年度中に満たす"),"入力済","未入力"),"")</f>
        <v/>
      </c>
      <c r="BC364" s="1472"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03" t="str">
        <f>IF(OR(T364="新加算Ⅰ",T364="新加算Ⅴ（１）",T364="新加算Ⅴ（２）",T364="新加算Ⅴ（５）",T364="新加算Ⅴ（７）",T364="新加算Ⅴ（10）"),IF(AR364="","未入力","入力済"),"")</f>
        <v/>
      </c>
      <c r="BE364" s="1303" t="str">
        <f>G362</f>
        <v/>
      </c>
      <c r="BF364" s="1303"/>
      <c r="BG364" s="1303"/>
    </row>
    <row r="365" spans="1:59" ht="30" customHeight="1" thickBot="1">
      <c r="A365" s="1268"/>
      <c r="B365" s="1411"/>
      <c r="C365" s="1412"/>
      <c r="D365" s="1412"/>
      <c r="E365" s="1412"/>
      <c r="F365" s="1413"/>
      <c r="G365" s="1253"/>
      <c r="H365" s="1253"/>
      <c r="I365" s="1253"/>
      <c r="J365" s="1416"/>
      <c r="K365" s="1253"/>
      <c r="L365" s="1422"/>
      <c r="M365" s="553" t="str">
        <f>IF('別紙様式2-2（４・５月分）'!P277="","",'別紙様式2-2（４・５月分）'!P277)</f>
        <v/>
      </c>
      <c r="N365" s="1394"/>
      <c r="O365" s="1374"/>
      <c r="P365" s="1426"/>
      <c r="Q365" s="1378"/>
      <c r="R365" s="1509"/>
      <c r="S365" s="1382"/>
      <c r="T365" s="1511"/>
      <c r="U365" s="1507"/>
      <c r="V365" s="1388"/>
      <c r="W365" s="1505"/>
      <c r="X365" s="1364"/>
      <c r="Y365" s="1505"/>
      <c r="Z365" s="1364"/>
      <c r="AA365" s="1505"/>
      <c r="AB365" s="1364"/>
      <c r="AC365" s="1505"/>
      <c r="AD365" s="1364"/>
      <c r="AE365" s="1364"/>
      <c r="AF365" s="1364"/>
      <c r="AG365" s="1360"/>
      <c r="AH365" s="1366"/>
      <c r="AI365" s="1499"/>
      <c r="AJ365" s="1370"/>
      <c r="AK365" s="1501"/>
      <c r="AL365" s="1503"/>
      <c r="AM365" s="1495"/>
      <c r="AN365" s="1476"/>
      <c r="AO365" s="1497"/>
      <c r="AP365" s="1476"/>
      <c r="AQ365" s="1478"/>
      <c r="AR365" s="1480"/>
      <c r="AS365" s="575"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1"/>
      <c r="AU365" s="1303"/>
      <c r="AV365" s="555" t="str">
        <f>IF('別紙様式2-2（４・５月分）'!N277="","",'別紙様式2-2（４・５月分）'!N277)</f>
        <v/>
      </c>
      <c r="AW365" s="1305"/>
      <c r="AX365" s="576"/>
      <c r="AY365" s="1222" t="str">
        <f>IF(OR(T365="新加算Ⅰ",T365="新加算Ⅱ",T365="新加算Ⅲ",T365="新加算Ⅳ",T365="新加算Ⅴ（１）",T365="新加算Ⅴ（２）",T365="新加算Ⅴ（３）",T365="新加算ⅠⅤ（４）",T365="新加算Ⅴ（５）",T365="新加算Ⅴ（６）",T365="新加算Ⅴ（８）",T365="新加算Ⅴ（11）"),IF(AI365="○","","未入力"),"")</f>
        <v/>
      </c>
      <c r="AZ365" s="1222" t="str">
        <f>IF(OR(U365="新加算Ⅰ",U365="新加算Ⅱ",U365="新加算Ⅲ",U365="新加算Ⅳ",U365="新加算Ⅴ（１）",U365="新加算Ⅴ（２）",U365="新加算Ⅴ（３）",U365="新加算ⅠⅤ（４）",U365="新加算Ⅴ（５）",U365="新加算Ⅴ（６）",U365="新加算Ⅴ（８）",U365="新加算Ⅴ（11）"),IF(AJ365="○","","未入力"),"")</f>
        <v/>
      </c>
      <c r="BA365" s="1222" t="str">
        <f>IF(OR(U365="新加算Ⅴ（７）",U365="新加算Ⅴ（９）",U365="新加算Ⅴ（10）",U365="新加算Ⅴ（12）",U365="新加算Ⅴ（13）",U365="新加算Ⅴ（14）"),IF(AK365="○","","未入力"),"")</f>
        <v/>
      </c>
      <c r="BB365" s="1222" t="str">
        <f>IF(OR(U365="新加算Ⅰ",U365="新加算Ⅱ",U365="新加算Ⅲ",U365="新加算Ⅴ（１）",U365="新加算Ⅴ（３）",U365="新加算Ⅴ（８）"),IF(AL365="○","","未入力"),"")</f>
        <v/>
      </c>
      <c r="BC365" s="1472"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03" t="str">
        <f>IF(AND(T365&lt;&gt;"（参考）令和７年度の移行予定",OR(U365="新加算Ⅰ",U365="新加算Ⅴ（１）",U365="新加算Ⅴ（２）",U365="新加算Ⅴ（５）",U365="新加算Ⅴ（７）",U365="新加算Ⅴ（10）")),IF(AN365="","未入力",IF(AN365="いずれも取得していない","要件を満たさない","")),"")</f>
        <v/>
      </c>
      <c r="BE365" s="1303" t="str">
        <f>G362</f>
        <v/>
      </c>
      <c r="BF365" s="1303"/>
      <c r="BG365" s="1303"/>
    </row>
    <row r="366" spans="1:59" ht="30" customHeight="1">
      <c r="A366" s="1266">
        <v>89</v>
      </c>
      <c r="B366" s="1232" t="str">
        <f>IF(基本情報入力シート!C142="","",基本情報入力シート!C142)</f>
        <v/>
      </c>
      <c r="C366" s="1233"/>
      <c r="D366" s="1233"/>
      <c r="E366" s="1233"/>
      <c r="F366" s="1234"/>
      <c r="G366" s="1251" t="str">
        <f>IF(基本情報入力シート!M142="","",基本情報入力シート!M142)</f>
        <v/>
      </c>
      <c r="H366" s="1251" t="str">
        <f>IF(基本情報入力シート!R142="","",基本情報入力シート!R142)</f>
        <v/>
      </c>
      <c r="I366" s="1251" t="str">
        <f>IF(基本情報入力シート!W142="","",基本情報入力シート!W142)</f>
        <v/>
      </c>
      <c r="J366" s="1414" t="str">
        <f>IF(基本情報入力シート!X142="","",基本情報入力シート!X142)</f>
        <v/>
      </c>
      <c r="K366" s="1251" t="str">
        <f>IF(基本情報入力シート!Y142="","",基本情報入力シート!Y142)</f>
        <v/>
      </c>
      <c r="L366" s="1427" t="str">
        <f>IF(基本情報入力シート!AB142="","",基本情報入力シート!AB142)</f>
        <v/>
      </c>
      <c r="M366" s="550" t="str">
        <f>IF('別紙様式2-2（４・５月分）'!P278="","",'別紙様式2-2（４・５月分）'!P278)</f>
        <v/>
      </c>
      <c r="N366" s="1391" t="str">
        <f>IF(SUM('別紙様式2-2（４・５月分）'!Q278:Q280)=0,"",SUM('別紙様式2-2（４・５月分）'!Q278:Q280))</f>
        <v/>
      </c>
      <c r="O366" s="1395" t="str">
        <f>IFERROR(VLOOKUP('別紙様式2-2（４・５月分）'!AQ278,【参考】数式用!$AR$5:$AS$22,2,FALSE),"")</f>
        <v/>
      </c>
      <c r="P366" s="1396"/>
      <c r="Q366" s="1397"/>
      <c r="R366" s="1531" t="str">
        <f>IFERROR(VLOOKUP(K366,【参考】数式用!$A$5:$AB$37,MATCH(O366,【参考】数式用!$B$4:$AB$4,0)+1,0),"")</f>
        <v/>
      </c>
      <c r="S366" s="1403" t="s">
        <v>2102</v>
      </c>
      <c r="T366" s="1527" t="str">
        <f>IF('別紙様式2-3（６月以降分）'!T366="","",'別紙様式2-3（６月以降分）'!T366)</f>
        <v/>
      </c>
      <c r="U366" s="1529" t="str">
        <f>IFERROR(VLOOKUP(K366,【参考】数式用!$A$5:$AB$37,MATCH(T366,【参考】数式用!$B$4:$AB$4,0)+1,0),"")</f>
        <v/>
      </c>
      <c r="V366" s="1409" t="s">
        <v>15</v>
      </c>
      <c r="W366" s="1525">
        <f>'別紙様式2-3（６月以降分）'!W366</f>
        <v>6</v>
      </c>
      <c r="X366" s="1349" t="s">
        <v>10</v>
      </c>
      <c r="Y366" s="1525">
        <f>'別紙様式2-3（６月以降分）'!Y366</f>
        <v>6</v>
      </c>
      <c r="Z366" s="1349" t="s">
        <v>38</v>
      </c>
      <c r="AA366" s="1525">
        <f>'別紙様式2-3（６月以降分）'!AA366</f>
        <v>7</v>
      </c>
      <c r="AB366" s="1349" t="s">
        <v>10</v>
      </c>
      <c r="AC366" s="1525">
        <f>'別紙様式2-3（６月以降分）'!AC366</f>
        <v>3</v>
      </c>
      <c r="AD366" s="1349" t="s">
        <v>2020</v>
      </c>
      <c r="AE366" s="1349" t="s">
        <v>20</v>
      </c>
      <c r="AF366" s="1349">
        <f>IF(W366&gt;=1,(AA366*12+AC366)-(W366*12+Y366)+1,"")</f>
        <v>10</v>
      </c>
      <c r="AG366" s="1351" t="s">
        <v>33</v>
      </c>
      <c r="AH366" s="1517" t="str">
        <f>'別紙様式2-3（６月以降分）'!AH366</f>
        <v/>
      </c>
      <c r="AI366" s="1519" t="str">
        <f>'別紙様式2-3（６月以降分）'!AI366</f>
        <v/>
      </c>
      <c r="AJ366" s="1521">
        <f>'別紙様式2-3（６月以降分）'!AJ366</f>
        <v>0</v>
      </c>
      <c r="AK366" s="1523" t="str">
        <f>IF('別紙様式2-3（６月以降分）'!AK366="","",'別紙様式2-3（６月以降分）'!AK366)</f>
        <v/>
      </c>
      <c r="AL366" s="1512">
        <f>'別紙様式2-3（６月以降分）'!AL366</f>
        <v>0</v>
      </c>
      <c r="AM366" s="1514" t="str">
        <f>IF('別紙様式2-3（６月以降分）'!AM366="","",'別紙様式2-3（６月以降分）'!AM366)</f>
        <v/>
      </c>
      <c r="AN366" s="1333" t="str">
        <f>IF('別紙様式2-3（６月以降分）'!AN366="","",'別紙様式2-3（６月以降分）'!AN366)</f>
        <v/>
      </c>
      <c r="AO366" s="1331" t="str">
        <f>IF('別紙様式2-3（６月以降分）'!AO366="","",'別紙様式2-3（６月以降分）'!AO366)</f>
        <v/>
      </c>
      <c r="AP366" s="1333" t="str">
        <f>IF('別紙様式2-3（６月以降分）'!AP366="","",'別紙様式2-3（６月以降分）'!AP366)</f>
        <v/>
      </c>
      <c r="AQ366" s="1481" t="str">
        <f>IF('別紙様式2-3（６月以降分）'!AQ366="","",'別紙様式2-3（６月以降分）'!AQ366)</f>
        <v/>
      </c>
      <c r="AR366" s="1484" t="str">
        <f>IF('別紙様式2-3（６月以降分）'!AR366="","",'別紙様式2-3（６月以降分）'!AR366)</f>
        <v/>
      </c>
      <c r="AS366" s="570" t="str">
        <f t="shared" ref="AS366" si="609">IF(AU368="","",IF(U368&lt;U366,"！加算の要件上は問題ありませんが、令和６年度当初の新加算の加算率と比較して、移行後の加算率が下がる計画になっています。",""))</f>
        <v/>
      </c>
      <c r="AT366" s="577"/>
      <c r="AU366" s="1301"/>
      <c r="AV366" s="555" t="str">
        <f>IF('別紙様式2-2（４・５月分）'!N278="","",'別紙様式2-2（４・５月分）'!N278)</f>
        <v/>
      </c>
      <c r="AW366" s="1305" t="str">
        <f>IF(SUM('別紙様式2-2（４・５月分）'!O278:O280)=0,"",SUM('別紙様式2-2（４・５月分）'!O278:O280))</f>
        <v/>
      </c>
      <c r="AX366" s="1473" t="str">
        <f>IFERROR(VLOOKUP(K366,【参考】数式用!$AH$2:$AI$34,2,FALSE),"")</f>
        <v/>
      </c>
      <c r="AY366" s="493"/>
      <c r="BD366" s="340"/>
      <c r="BE366" s="1303" t="str">
        <f>G366</f>
        <v/>
      </c>
      <c r="BF366" s="1303"/>
      <c r="BG366" s="1303"/>
    </row>
    <row r="367" spans="1:59" ht="15" customHeight="1">
      <c r="A367" s="1267"/>
      <c r="B367" s="1235"/>
      <c r="C367" s="1236"/>
      <c r="D367" s="1236"/>
      <c r="E367" s="1236"/>
      <c r="F367" s="1237"/>
      <c r="G367" s="1252"/>
      <c r="H367" s="1252"/>
      <c r="I367" s="1252"/>
      <c r="J367" s="1415"/>
      <c r="K367" s="1252"/>
      <c r="L367" s="1421"/>
      <c r="M367" s="1371" t="str">
        <f>IF('別紙様式2-2（４・５月分）'!P279="","",'別紙様式2-2（４・５月分）'!P279)</f>
        <v/>
      </c>
      <c r="N367" s="1392"/>
      <c r="O367" s="1398"/>
      <c r="P367" s="1399"/>
      <c r="Q367" s="1400"/>
      <c r="R367" s="1532"/>
      <c r="S367" s="1404"/>
      <c r="T367" s="1528"/>
      <c r="U367" s="1530"/>
      <c r="V367" s="1410"/>
      <c r="W367" s="1526"/>
      <c r="X367" s="1350"/>
      <c r="Y367" s="1526"/>
      <c r="Z367" s="1350"/>
      <c r="AA367" s="1526"/>
      <c r="AB367" s="1350"/>
      <c r="AC367" s="1526"/>
      <c r="AD367" s="1350"/>
      <c r="AE367" s="1350"/>
      <c r="AF367" s="1350"/>
      <c r="AG367" s="1352"/>
      <c r="AH367" s="1518"/>
      <c r="AI367" s="1520"/>
      <c r="AJ367" s="1522"/>
      <c r="AK367" s="1524"/>
      <c r="AL367" s="1513"/>
      <c r="AM367" s="1515"/>
      <c r="AN367" s="1334"/>
      <c r="AO367" s="1516"/>
      <c r="AP367" s="1334"/>
      <c r="AQ367" s="1482"/>
      <c r="AR367" s="1485"/>
      <c r="AS367" s="1483" t="str">
        <f t="shared" ref="AS367" si="610">IF(AU368="","",IF(OR(AA368="",AA368&lt;&gt;7,AC368="",AC368&lt;&gt;3),"！算定期間の終わりが令和７年３月になっていません。年度内の廃止予定等がなければ、算定対象月を令和７年３月にしてください。",""))</f>
        <v/>
      </c>
      <c r="AT367" s="577"/>
      <c r="AU367" s="1303"/>
      <c r="AV367" s="1304" t="str">
        <f>IF('別紙様式2-2（４・５月分）'!N279="","",'別紙様式2-2（４・５月分）'!N279)</f>
        <v/>
      </c>
      <c r="AW367" s="1305"/>
      <c r="AX367" s="1474"/>
      <c r="AY367" s="430"/>
      <c r="BD367" s="340"/>
      <c r="BE367" s="1303" t="str">
        <f>G366</f>
        <v/>
      </c>
      <c r="BF367" s="1303"/>
      <c r="BG367" s="1303"/>
    </row>
    <row r="368" spans="1:59" ht="15" customHeight="1">
      <c r="A368" s="1295"/>
      <c r="B368" s="1235"/>
      <c r="C368" s="1236"/>
      <c r="D368" s="1236"/>
      <c r="E368" s="1236"/>
      <c r="F368" s="1237"/>
      <c r="G368" s="1252"/>
      <c r="H368" s="1252"/>
      <c r="I368" s="1252"/>
      <c r="J368" s="1415"/>
      <c r="K368" s="1252"/>
      <c r="L368" s="1421"/>
      <c r="M368" s="1372"/>
      <c r="N368" s="1393"/>
      <c r="O368" s="1373" t="s">
        <v>2025</v>
      </c>
      <c r="P368" s="1425" t="str">
        <f>IFERROR(VLOOKUP('別紙様式2-2（４・５月分）'!AQ278,【参考】数式用!$AR$5:$AT$22,3,FALSE),"")</f>
        <v/>
      </c>
      <c r="Q368" s="1377" t="s">
        <v>2036</v>
      </c>
      <c r="R368" s="1508" t="str">
        <f>IFERROR(VLOOKUP(K366,【参考】数式用!$A$5:$AB$37,MATCH(P368,【参考】数式用!$B$4:$AB$4,0)+1,0),"")</f>
        <v/>
      </c>
      <c r="S368" s="1381" t="s">
        <v>2109</v>
      </c>
      <c r="T368" s="1510"/>
      <c r="U368" s="1506" t="str">
        <f>IFERROR(VLOOKUP(K366,【参考】数式用!$A$5:$AB$37,MATCH(T368,【参考】数式用!$B$4:$AB$4,0)+1,0),"")</f>
        <v/>
      </c>
      <c r="V368" s="1387" t="s">
        <v>15</v>
      </c>
      <c r="W368" s="1504"/>
      <c r="X368" s="1363" t="s">
        <v>10</v>
      </c>
      <c r="Y368" s="1504"/>
      <c r="Z368" s="1363" t="s">
        <v>38</v>
      </c>
      <c r="AA368" s="1504"/>
      <c r="AB368" s="1363" t="s">
        <v>10</v>
      </c>
      <c r="AC368" s="1504"/>
      <c r="AD368" s="1363" t="s">
        <v>2020</v>
      </c>
      <c r="AE368" s="1363" t="s">
        <v>20</v>
      </c>
      <c r="AF368" s="1363" t="str">
        <f>IF(W368&gt;=1,(AA368*12+AC368)-(W368*12+Y368)+1,"")</f>
        <v/>
      </c>
      <c r="AG368" s="1359" t="s">
        <v>33</v>
      </c>
      <c r="AH368" s="1365" t="str">
        <f t="shared" ref="AH368" si="611">IFERROR(ROUNDDOWN(ROUND(L366*U368,0),0)*AF368,"")</f>
        <v/>
      </c>
      <c r="AI368" s="1498" t="str">
        <f t="shared" ref="AI368" si="612">IFERROR(ROUNDDOWN(ROUND((L366*(U368-AW366)),0),0)*AF368,"")</f>
        <v/>
      </c>
      <c r="AJ368" s="1369" t="str">
        <f>IFERROR(ROUNDDOWN(ROUNDDOWN(ROUND(L366*VLOOKUP(K366,【参考】数式用!$A$5:$AB$27,MATCH("新加算Ⅳ",【参考】数式用!$B$4:$AB$4,0)+1,0),0),0)*AF368*0.5,0),"")</f>
        <v/>
      </c>
      <c r="AK368" s="1500"/>
      <c r="AL368" s="1502" t="str">
        <f>IFERROR(IF('別紙様式2-2（４・５月分）'!P368="ベア加算","", IF(OR(T368="新加算Ⅰ",T368="新加算Ⅱ",T368="新加算Ⅲ",T368="新加算Ⅳ"),ROUNDDOWN(ROUND(L366*VLOOKUP(K366,【参考】数式用!$A$5:$I$27,MATCH("ベア加算",【参考】数式用!$B$4:$I$4,0)+1,0),0),0)*AF368,"")),"")</f>
        <v/>
      </c>
      <c r="AM368" s="1494"/>
      <c r="AN368" s="1475"/>
      <c r="AO368" s="1496"/>
      <c r="AP368" s="1475"/>
      <c r="AQ368" s="1477"/>
      <c r="AR368" s="1479"/>
      <c r="AS368" s="1483"/>
      <c r="AT368" s="451"/>
      <c r="AU368" s="1303" t="str">
        <f>IF(AND(AA366&lt;&gt;7,AC366&lt;&gt;3),"V列に色付け","")</f>
        <v/>
      </c>
      <c r="AV368" s="1304"/>
      <c r="AW368" s="1305"/>
      <c r="AX368" s="574"/>
      <c r="AY368" s="1222" t="str">
        <f>IF(AL368&lt;&gt;"",IF(AM368="○","入力済","未入力"),"")</f>
        <v/>
      </c>
      <c r="AZ368" s="1222"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2" t="str">
        <f>IF(OR(T368="新加算Ⅴ（７）",T368="新加算Ⅴ（９）",T368="新加算Ⅴ（10）",T368="新加算Ⅴ（12）",T368="新加算Ⅴ（13）",T368="新加算Ⅴ（14）"),IF(OR(AO368="○",AO368="令和６年度中に満たす"),"入力済","未入力"),"")</f>
        <v/>
      </c>
      <c r="BB368" s="1222" t="str">
        <f>IF(OR(T368="新加算Ⅰ",T368="新加算Ⅱ",T368="新加算Ⅲ",T368="新加算Ⅴ（１）",T368="新加算Ⅴ（３）",T368="新加算Ⅴ（８）"),IF(OR(AP368="○",AP368="令和６年度中に満たす"),"入力済","未入力"),"")</f>
        <v/>
      </c>
      <c r="BC368" s="1472"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03" t="str">
        <f>IF(OR(T368="新加算Ⅰ",T368="新加算Ⅴ（１）",T368="新加算Ⅴ（２）",T368="新加算Ⅴ（５）",T368="新加算Ⅴ（７）",T368="新加算Ⅴ（10）"),IF(AR368="","未入力","入力済"),"")</f>
        <v/>
      </c>
      <c r="BE368" s="1303" t="str">
        <f>G366</f>
        <v/>
      </c>
      <c r="BF368" s="1303"/>
      <c r="BG368" s="1303"/>
    </row>
    <row r="369" spans="1:59" ht="30" customHeight="1" thickBot="1">
      <c r="A369" s="1268"/>
      <c r="B369" s="1411"/>
      <c r="C369" s="1412"/>
      <c r="D369" s="1412"/>
      <c r="E369" s="1412"/>
      <c r="F369" s="1413"/>
      <c r="G369" s="1253"/>
      <c r="H369" s="1253"/>
      <c r="I369" s="1253"/>
      <c r="J369" s="1416"/>
      <c r="K369" s="1253"/>
      <c r="L369" s="1422"/>
      <c r="M369" s="553" t="str">
        <f>IF('別紙様式2-2（４・５月分）'!P280="","",'別紙様式2-2（４・５月分）'!P280)</f>
        <v/>
      </c>
      <c r="N369" s="1394"/>
      <c r="O369" s="1374"/>
      <c r="P369" s="1426"/>
      <c r="Q369" s="1378"/>
      <c r="R369" s="1509"/>
      <c r="S369" s="1382"/>
      <c r="T369" s="1511"/>
      <c r="U369" s="1507"/>
      <c r="V369" s="1388"/>
      <c r="W369" s="1505"/>
      <c r="X369" s="1364"/>
      <c r="Y369" s="1505"/>
      <c r="Z369" s="1364"/>
      <c r="AA369" s="1505"/>
      <c r="AB369" s="1364"/>
      <c r="AC369" s="1505"/>
      <c r="AD369" s="1364"/>
      <c r="AE369" s="1364"/>
      <c r="AF369" s="1364"/>
      <c r="AG369" s="1360"/>
      <c r="AH369" s="1366"/>
      <c r="AI369" s="1499"/>
      <c r="AJ369" s="1370"/>
      <c r="AK369" s="1501"/>
      <c r="AL369" s="1503"/>
      <c r="AM369" s="1495"/>
      <c r="AN369" s="1476"/>
      <c r="AO369" s="1497"/>
      <c r="AP369" s="1476"/>
      <c r="AQ369" s="1478"/>
      <c r="AR369" s="1480"/>
      <c r="AS369" s="575"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1"/>
      <c r="AU369" s="1303"/>
      <c r="AV369" s="555" t="str">
        <f>IF('別紙様式2-2（４・５月分）'!N280="","",'別紙様式2-2（４・５月分）'!N280)</f>
        <v/>
      </c>
      <c r="AW369" s="1305"/>
      <c r="AX369" s="576"/>
      <c r="AY369" s="1222" t="str">
        <f>IF(OR(T369="新加算Ⅰ",T369="新加算Ⅱ",T369="新加算Ⅲ",T369="新加算Ⅳ",T369="新加算Ⅴ（１）",T369="新加算Ⅴ（２）",T369="新加算Ⅴ（３）",T369="新加算ⅠⅤ（４）",T369="新加算Ⅴ（５）",T369="新加算Ⅴ（６）",T369="新加算Ⅴ（８）",T369="新加算Ⅴ（11）"),IF(AI369="○","","未入力"),"")</f>
        <v/>
      </c>
      <c r="AZ369" s="1222" t="str">
        <f>IF(OR(U369="新加算Ⅰ",U369="新加算Ⅱ",U369="新加算Ⅲ",U369="新加算Ⅳ",U369="新加算Ⅴ（１）",U369="新加算Ⅴ（２）",U369="新加算Ⅴ（３）",U369="新加算ⅠⅤ（４）",U369="新加算Ⅴ（５）",U369="新加算Ⅴ（６）",U369="新加算Ⅴ（８）",U369="新加算Ⅴ（11）"),IF(AJ369="○","","未入力"),"")</f>
        <v/>
      </c>
      <c r="BA369" s="1222" t="str">
        <f>IF(OR(U369="新加算Ⅴ（７）",U369="新加算Ⅴ（９）",U369="新加算Ⅴ（10）",U369="新加算Ⅴ（12）",U369="新加算Ⅴ（13）",U369="新加算Ⅴ（14）"),IF(AK369="○","","未入力"),"")</f>
        <v/>
      </c>
      <c r="BB369" s="1222" t="str">
        <f>IF(OR(U369="新加算Ⅰ",U369="新加算Ⅱ",U369="新加算Ⅲ",U369="新加算Ⅴ（１）",U369="新加算Ⅴ（３）",U369="新加算Ⅴ（８）"),IF(AL369="○","","未入力"),"")</f>
        <v/>
      </c>
      <c r="BC369" s="1472"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03" t="str">
        <f>IF(AND(T369&lt;&gt;"（参考）令和７年度の移行予定",OR(U369="新加算Ⅰ",U369="新加算Ⅴ（１）",U369="新加算Ⅴ（２）",U369="新加算Ⅴ（５）",U369="新加算Ⅴ（７）",U369="新加算Ⅴ（10）")),IF(AN369="","未入力",IF(AN369="いずれも取得していない","要件を満たさない","")),"")</f>
        <v/>
      </c>
      <c r="BE369" s="1303" t="str">
        <f>G366</f>
        <v/>
      </c>
      <c r="BF369" s="1303"/>
      <c r="BG369" s="1303"/>
    </row>
    <row r="370" spans="1:59" ht="30" customHeight="1">
      <c r="A370" s="1293">
        <v>90</v>
      </c>
      <c r="B370" s="1235" t="str">
        <f>IF(基本情報入力シート!C143="","",基本情報入力シート!C143)</f>
        <v/>
      </c>
      <c r="C370" s="1236"/>
      <c r="D370" s="1236"/>
      <c r="E370" s="1236"/>
      <c r="F370" s="1237"/>
      <c r="G370" s="1252" t="str">
        <f>IF(基本情報入力シート!M143="","",基本情報入力シート!M143)</f>
        <v/>
      </c>
      <c r="H370" s="1252" t="str">
        <f>IF(基本情報入力シート!R143="","",基本情報入力シート!R143)</f>
        <v/>
      </c>
      <c r="I370" s="1252" t="str">
        <f>IF(基本情報入力シート!W143="","",基本情報入力シート!W143)</f>
        <v/>
      </c>
      <c r="J370" s="1415" t="str">
        <f>IF(基本情報入力シート!X143="","",基本情報入力シート!X143)</f>
        <v/>
      </c>
      <c r="K370" s="1252" t="str">
        <f>IF(基本情報入力シート!Y143="","",基本情報入力シート!Y143)</f>
        <v/>
      </c>
      <c r="L370" s="1421" t="str">
        <f>IF(基本情報入力シート!AB143="","",基本情報入力シート!AB143)</f>
        <v/>
      </c>
      <c r="M370" s="550" t="str">
        <f>IF('別紙様式2-2（４・５月分）'!P281="","",'別紙様式2-2（４・５月分）'!P281)</f>
        <v/>
      </c>
      <c r="N370" s="1391" t="str">
        <f>IF(SUM('別紙様式2-2（４・５月分）'!Q281:Q283)=0,"",SUM('別紙様式2-2（４・５月分）'!Q281:Q283))</f>
        <v/>
      </c>
      <c r="O370" s="1395" t="str">
        <f>IFERROR(VLOOKUP('別紙様式2-2（４・５月分）'!AQ281,【参考】数式用!$AR$5:$AS$22,2,FALSE),"")</f>
        <v/>
      </c>
      <c r="P370" s="1396"/>
      <c r="Q370" s="1397"/>
      <c r="R370" s="1531" t="str">
        <f>IFERROR(VLOOKUP(K370,【参考】数式用!$A$5:$AB$37,MATCH(O370,【参考】数式用!$B$4:$AB$4,0)+1,0),"")</f>
        <v/>
      </c>
      <c r="S370" s="1403" t="s">
        <v>2102</v>
      </c>
      <c r="T370" s="1527" t="str">
        <f>IF('別紙様式2-3（６月以降分）'!T370="","",'別紙様式2-3（６月以降分）'!T370)</f>
        <v/>
      </c>
      <c r="U370" s="1529" t="str">
        <f>IFERROR(VLOOKUP(K370,【参考】数式用!$A$5:$AB$37,MATCH(T370,【参考】数式用!$B$4:$AB$4,0)+1,0),"")</f>
        <v/>
      </c>
      <c r="V370" s="1409" t="s">
        <v>15</v>
      </c>
      <c r="W370" s="1525">
        <f>'別紙様式2-3（６月以降分）'!W370</f>
        <v>6</v>
      </c>
      <c r="X370" s="1349" t="s">
        <v>10</v>
      </c>
      <c r="Y370" s="1525">
        <f>'別紙様式2-3（６月以降分）'!Y370</f>
        <v>6</v>
      </c>
      <c r="Z370" s="1349" t="s">
        <v>38</v>
      </c>
      <c r="AA370" s="1525">
        <f>'別紙様式2-3（６月以降分）'!AA370</f>
        <v>7</v>
      </c>
      <c r="AB370" s="1349" t="s">
        <v>10</v>
      </c>
      <c r="AC370" s="1525">
        <f>'別紙様式2-3（６月以降分）'!AC370</f>
        <v>3</v>
      </c>
      <c r="AD370" s="1349" t="s">
        <v>2020</v>
      </c>
      <c r="AE370" s="1349" t="s">
        <v>20</v>
      </c>
      <c r="AF370" s="1349">
        <f>IF(W370&gt;=1,(AA370*12+AC370)-(W370*12+Y370)+1,"")</f>
        <v>10</v>
      </c>
      <c r="AG370" s="1351" t="s">
        <v>33</v>
      </c>
      <c r="AH370" s="1517" t="str">
        <f>'別紙様式2-3（６月以降分）'!AH370</f>
        <v/>
      </c>
      <c r="AI370" s="1519" t="str">
        <f>'別紙様式2-3（６月以降分）'!AI370</f>
        <v/>
      </c>
      <c r="AJ370" s="1521">
        <f>'別紙様式2-3（６月以降分）'!AJ370</f>
        <v>0</v>
      </c>
      <c r="AK370" s="1523" t="str">
        <f>IF('別紙様式2-3（６月以降分）'!AK370="","",'別紙様式2-3（６月以降分）'!AK370)</f>
        <v/>
      </c>
      <c r="AL370" s="1512">
        <f>'別紙様式2-3（６月以降分）'!AL370</f>
        <v>0</v>
      </c>
      <c r="AM370" s="1514" t="str">
        <f>IF('別紙様式2-3（６月以降分）'!AM370="","",'別紙様式2-3（６月以降分）'!AM370)</f>
        <v/>
      </c>
      <c r="AN370" s="1333" t="str">
        <f>IF('別紙様式2-3（６月以降分）'!AN370="","",'別紙様式2-3（６月以降分）'!AN370)</f>
        <v/>
      </c>
      <c r="AO370" s="1331" t="str">
        <f>IF('別紙様式2-3（６月以降分）'!AO370="","",'別紙様式2-3（６月以降分）'!AO370)</f>
        <v/>
      </c>
      <c r="AP370" s="1333" t="str">
        <f>IF('別紙様式2-3（６月以降分）'!AP370="","",'別紙様式2-3（６月以降分）'!AP370)</f>
        <v/>
      </c>
      <c r="AQ370" s="1481" t="str">
        <f>IF('別紙様式2-3（６月以降分）'!AQ370="","",'別紙様式2-3（６月以降分）'!AQ370)</f>
        <v/>
      </c>
      <c r="AR370" s="1484" t="str">
        <f>IF('別紙様式2-3（６月以降分）'!AR370="","",'別紙様式2-3（６月以降分）'!AR370)</f>
        <v/>
      </c>
      <c r="AS370" s="570" t="str">
        <f t="shared" ref="AS370" si="616">IF(AU372="","",IF(U372&lt;U370,"！加算の要件上は問題ありませんが、令和６年度当初の新加算の加算率と比較して、移行後の加算率が下がる計画になっています。",""))</f>
        <v/>
      </c>
      <c r="AT370" s="577"/>
      <c r="AU370" s="1301"/>
      <c r="AV370" s="555" t="str">
        <f>IF('別紙様式2-2（４・５月分）'!N281="","",'別紙様式2-2（４・５月分）'!N281)</f>
        <v/>
      </c>
      <c r="AW370" s="1305" t="str">
        <f>IF(SUM('別紙様式2-2（４・５月分）'!O281:O283)=0,"",SUM('別紙様式2-2（４・５月分）'!O281:O283))</f>
        <v/>
      </c>
      <c r="AX370" s="1473" t="str">
        <f>IFERROR(VLOOKUP(K370,【参考】数式用!$AH$2:$AI$34,2,FALSE),"")</f>
        <v/>
      </c>
      <c r="AY370" s="493"/>
      <c r="BD370" s="340"/>
      <c r="BE370" s="1303" t="str">
        <f>G370</f>
        <v/>
      </c>
      <c r="BF370" s="1303"/>
      <c r="BG370" s="1303"/>
    </row>
    <row r="371" spans="1:59" ht="15" customHeight="1">
      <c r="A371" s="1267"/>
      <c r="B371" s="1235"/>
      <c r="C371" s="1236"/>
      <c r="D371" s="1236"/>
      <c r="E371" s="1236"/>
      <c r="F371" s="1237"/>
      <c r="G371" s="1252"/>
      <c r="H371" s="1252"/>
      <c r="I371" s="1252"/>
      <c r="J371" s="1415"/>
      <c r="K371" s="1252"/>
      <c r="L371" s="1421"/>
      <c r="M371" s="1371" t="str">
        <f>IF('別紙様式2-2（４・５月分）'!P282="","",'別紙様式2-2（４・５月分）'!P282)</f>
        <v/>
      </c>
      <c r="N371" s="1392"/>
      <c r="O371" s="1398"/>
      <c r="P371" s="1399"/>
      <c r="Q371" s="1400"/>
      <c r="R371" s="1532"/>
      <c r="S371" s="1404"/>
      <c r="T371" s="1528"/>
      <c r="U371" s="1530"/>
      <c r="V371" s="1410"/>
      <c r="W371" s="1526"/>
      <c r="X371" s="1350"/>
      <c r="Y371" s="1526"/>
      <c r="Z371" s="1350"/>
      <c r="AA371" s="1526"/>
      <c r="AB371" s="1350"/>
      <c r="AC371" s="1526"/>
      <c r="AD371" s="1350"/>
      <c r="AE371" s="1350"/>
      <c r="AF371" s="1350"/>
      <c r="AG371" s="1352"/>
      <c r="AH371" s="1518"/>
      <c r="AI371" s="1520"/>
      <c r="AJ371" s="1522"/>
      <c r="AK371" s="1524"/>
      <c r="AL371" s="1513"/>
      <c r="AM371" s="1515"/>
      <c r="AN371" s="1334"/>
      <c r="AO371" s="1516"/>
      <c r="AP371" s="1334"/>
      <c r="AQ371" s="1482"/>
      <c r="AR371" s="1485"/>
      <c r="AS371" s="1483" t="str">
        <f t="shared" ref="AS371" si="617">IF(AU372="","",IF(OR(AA372="",AA372&lt;&gt;7,AC372="",AC372&lt;&gt;3),"！算定期間の終わりが令和７年３月になっていません。年度内の廃止予定等がなければ、算定対象月を令和７年３月にしてください。",""))</f>
        <v/>
      </c>
      <c r="AT371" s="577"/>
      <c r="AU371" s="1303"/>
      <c r="AV371" s="1304" t="str">
        <f>IF('別紙様式2-2（４・５月分）'!N282="","",'別紙様式2-2（４・５月分）'!N282)</f>
        <v/>
      </c>
      <c r="AW371" s="1305"/>
      <c r="AX371" s="1474"/>
      <c r="AY371" s="430"/>
      <c r="BD371" s="340"/>
      <c r="BE371" s="1303" t="str">
        <f>G370</f>
        <v/>
      </c>
      <c r="BF371" s="1303"/>
      <c r="BG371" s="1303"/>
    </row>
    <row r="372" spans="1:59" ht="15" customHeight="1">
      <c r="A372" s="1295"/>
      <c r="B372" s="1235"/>
      <c r="C372" s="1236"/>
      <c r="D372" s="1236"/>
      <c r="E372" s="1236"/>
      <c r="F372" s="1237"/>
      <c r="G372" s="1252"/>
      <c r="H372" s="1252"/>
      <c r="I372" s="1252"/>
      <c r="J372" s="1415"/>
      <c r="K372" s="1252"/>
      <c r="L372" s="1421"/>
      <c r="M372" s="1372"/>
      <c r="N372" s="1393"/>
      <c r="O372" s="1373" t="s">
        <v>2025</v>
      </c>
      <c r="P372" s="1425" t="str">
        <f>IFERROR(VLOOKUP('別紙様式2-2（４・５月分）'!AQ281,【参考】数式用!$AR$5:$AT$22,3,FALSE),"")</f>
        <v/>
      </c>
      <c r="Q372" s="1377" t="s">
        <v>2036</v>
      </c>
      <c r="R372" s="1508" t="str">
        <f>IFERROR(VLOOKUP(K370,【参考】数式用!$A$5:$AB$37,MATCH(P372,【参考】数式用!$B$4:$AB$4,0)+1,0),"")</f>
        <v/>
      </c>
      <c r="S372" s="1381" t="s">
        <v>2109</v>
      </c>
      <c r="T372" s="1510"/>
      <c r="U372" s="1506" t="str">
        <f>IFERROR(VLOOKUP(K370,【参考】数式用!$A$5:$AB$37,MATCH(T372,【参考】数式用!$B$4:$AB$4,0)+1,0),"")</f>
        <v/>
      </c>
      <c r="V372" s="1387" t="s">
        <v>15</v>
      </c>
      <c r="W372" s="1504"/>
      <c r="X372" s="1363" t="s">
        <v>10</v>
      </c>
      <c r="Y372" s="1504"/>
      <c r="Z372" s="1363" t="s">
        <v>38</v>
      </c>
      <c r="AA372" s="1504"/>
      <c r="AB372" s="1363" t="s">
        <v>10</v>
      </c>
      <c r="AC372" s="1504"/>
      <c r="AD372" s="1363" t="s">
        <v>2020</v>
      </c>
      <c r="AE372" s="1363" t="s">
        <v>20</v>
      </c>
      <c r="AF372" s="1363" t="str">
        <f>IF(W372&gt;=1,(AA372*12+AC372)-(W372*12+Y372)+1,"")</f>
        <v/>
      </c>
      <c r="AG372" s="1359" t="s">
        <v>33</v>
      </c>
      <c r="AH372" s="1365" t="str">
        <f t="shared" ref="AH372" si="618">IFERROR(ROUNDDOWN(ROUND(L370*U372,0),0)*AF372,"")</f>
        <v/>
      </c>
      <c r="AI372" s="1498" t="str">
        <f t="shared" ref="AI372" si="619">IFERROR(ROUNDDOWN(ROUND((L370*(U372-AW370)),0),0)*AF372,"")</f>
        <v/>
      </c>
      <c r="AJ372" s="1369" t="str">
        <f>IFERROR(ROUNDDOWN(ROUNDDOWN(ROUND(L370*VLOOKUP(K370,【参考】数式用!$A$5:$AB$27,MATCH("新加算Ⅳ",【参考】数式用!$B$4:$AB$4,0)+1,0),0),0)*AF372*0.5,0),"")</f>
        <v/>
      </c>
      <c r="AK372" s="1500"/>
      <c r="AL372" s="1502" t="str">
        <f>IFERROR(IF('別紙様式2-2（４・５月分）'!P372="ベア加算","", IF(OR(T372="新加算Ⅰ",T372="新加算Ⅱ",T372="新加算Ⅲ",T372="新加算Ⅳ"),ROUNDDOWN(ROUND(L370*VLOOKUP(K370,【参考】数式用!$A$5:$I$27,MATCH("ベア加算",【参考】数式用!$B$4:$I$4,0)+1,0),0),0)*AF372,"")),"")</f>
        <v/>
      </c>
      <c r="AM372" s="1494"/>
      <c r="AN372" s="1475"/>
      <c r="AO372" s="1496"/>
      <c r="AP372" s="1475"/>
      <c r="AQ372" s="1477"/>
      <c r="AR372" s="1479"/>
      <c r="AS372" s="1483"/>
      <c r="AT372" s="451"/>
      <c r="AU372" s="1303" t="str">
        <f>IF(AND(AA370&lt;&gt;7,AC370&lt;&gt;3),"V列に色付け","")</f>
        <v/>
      </c>
      <c r="AV372" s="1304"/>
      <c r="AW372" s="1305"/>
      <c r="AX372" s="574"/>
      <c r="AY372" s="1222" t="str">
        <f>IF(AL372&lt;&gt;"",IF(AM372="○","入力済","未入力"),"")</f>
        <v/>
      </c>
      <c r="AZ372" s="1222"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2" t="str">
        <f>IF(OR(T372="新加算Ⅴ（７）",T372="新加算Ⅴ（９）",T372="新加算Ⅴ（10）",T372="新加算Ⅴ（12）",T372="新加算Ⅴ（13）",T372="新加算Ⅴ（14）"),IF(OR(AO372="○",AO372="令和６年度中に満たす"),"入力済","未入力"),"")</f>
        <v/>
      </c>
      <c r="BB372" s="1222" t="str">
        <f>IF(OR(T372="新加算Ⅰ",T372="新加算Ⅱ",T372="新加算Ⅲ",T372="新加算Ⅴ（１）",T372="新加算Ⅴ（３）",T372="新加算Ⅴ（８）"),IF(OR(AP372="○",AP372="令和６年度中に満たす"),"入力済","未入力"),"")</f>
        <v/>
      </c>
      <c r="BC372" s="1472"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03" t="str">
        <f>IF(OR(T372="新加算Ⅰ",T372="新加算Ⅴ（１）",T372="新加算Ⅴ（２）",T372="新加算Ⅴ（５）",T372="新加算Ⅴ（７）",T372="新加算Ⅴ（10）"),IF(AR372="","未入力","入力済"),"")</f>
        <v/>
      </c>
      <c r="BE372" s="1303" t="str">
        <f>G370</f>
        <v/>
      </c>
      <c r="BF372" s="1303"/>
      <c r="BG372" s="1303"/>
    </row>
    <row r="373" spans="1:59" ht="30" customHeight="1" thickBot="1">
      <c r="A373" s="1268"/>
      <c r="B373" s="1411"/>
      <c r="C373" s="1412"/>
      <c r="D373" s="1412"/>
      <c r="E373" s="1412"/>
      <c r="F373" s="1413"/>
      <c r="G373" s="1253"/>
      <c r="H373" s="1253"/>
      <c r="I373" s="1253"/>
      <c r="J373" s="1416"/>
      <c r="K373" s="1253"/>
      <c r="L373" s="1422"/>
      <c r="M373" s="553" t="str">
        <f>IF('別紙様式2-2（４・５月分）'!P283="","",'別紙様式2-2（４・５月分）'!P283)</f>
        <v/>
      </c>
      <c r="N373" s="1394"/>
      <c r="O373" s="1374"/>
      <c r="P373" s="1426"/>
      <c r="Q373" s="1378"/>
      <c r="R373" s="1509"/>
      <c r="S373" s="1382"/>
      <c r="T373" s="1511"/>
      <c r="U373" s="1507"/>
      <c r="V373" s="1388"/>
      <c r="W373" s="1505"/>
      <c r="X373" s="1364"/>
      <c r="Y373" s="1505"/>
      <c r="Z373" s="1364"/>
      <c r="AA373" s="1505"/>
      <c r="AB373" s="1364"/>
      <c r="AC373" s="1505"/>
      <c r="AD373" s="1364"/>
      <c r="AE373" s="1364"/>
      <c r="AF373" s="1364"/>
      <c r="AG373" s="1360"/>
      <c r="AH373" s="1366"/>
      <c r="AI373" s="1499"/>
      <c r="AJ373" s="1370"/>
      <c r="AK373" s="1501"/>
      <c r="AL373" s="1503"/>
      <c r="AM373" s="1495"/>
      <c r="AN373" s="1476"/>
      <c r="AO373" s="1497"/>
      <c r="AP373" s="1476"/>
      <c r="AQ373" s="1478"/>
      <c r="AR373" s="1480"/>
      <c r="AS373" s="575"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1"/>
      <c r="AU373" s="1303"/>
      <c r="AV373" s="555" t="str">
        <f>IF('別紙様式2-2（４・５月分）'!N283="","",'別紙様式2-2（４・５月分）'!N283)</f>
        <v/>
      </c>
      <c r="AW373" s="1305"/>
      <c r="AX373" s="576"/>
      <c r="AY373" s="1222" t="str">
        <f>IF(OR(T373="新加算Ⅰ",T373="新加算Ⅱ",T373="新加算Ⅲ",T373="新加算Ⅳ",T373="新加算Ⅴ（１）",T373="新加算Ⅴ（２）",T373="新加算Ⅴ（３）",T373="新加算ⅠⅤ（４）",T373="新加算Ⅴ（５）",T373="新加算Ⅴ（６）",T373="新加算Ⅴ（８）",T373="新加算Ⅴ（11）"),IF(AI373="○","","未入力"),"")</f>
        <v/>
      </c>
      <c r="AZ373" s="1222" t="str">
        <f>IF(OR(U373="新加算Ⅰ",U373="新加算Ⅱ",U373="新加算Ⅲ",U373="新加算Ⅳ",U373="新加算Ⅴ（１）",U373="新加算Ⅴ（２）",U373="新加算Ⅴ（３）",U373="新加算ⅠⅤ（４）",U373="新加算Ⅴ（５）",U373="新加算Ⅴ（６）",U373="新加算Ⅴ（８）",U373="新加算Ⅴ（11）"),IF(AJ373="○","","未入力"),"")</f>
        <v/>
      </c>
      <c r="BA373" s="1222" t="str">
        <f>IF(OR(U373="新加算Ⅴ（７）",U373="新加算Ⅴ（９）",U373="新加算Ⅴ（10）",U373="新加算Ⅴ（12）",U373="新加算Ⅴ（13）",U373="新加算Ⅴ（14）"),IF(AK373="○","","未入力"),"")</f>
        <v/>
      </c>
      <c r="BB373" s="1222" t="str">
        <f>IF(OR(U373="新加算Ⅰ",U373="新加算Ⅱ",U373="新加算Ⅲ",U373="新加算Ⅴ（１）",U373="新加算Ⅴ（３）",U373="新加算Ⅴ（８）"),IF(AL373="○","","未入力"),"")</f>
        <v/>
      </c>
      <c r="BC373" s="1472"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03" t="str">
        <f>IF(AND(T373&lt;&gt;"（参考）令和７年度の移行予定",OR(U373="新加算Ⅰ",U373="新加算Ⅴ（１）",U373="新加算Ⅴ（２）",U373="新加算Ⅴ（５）",U373="新加算Ⅴ（７）",U373="新加算Ⅴ（10）")),IF(AN373="","未入力",IF(AN373="いずれも取得していない","要件を満たさない","")),"")</f>
        <v/>
      </c>
      <c r="BE373" s="1303" t="str">
        <f>G370</f>
        <v/>
      </c>
      <c r="BF373" s="1303"/>
      <c r="BG373" s="1303"/>
    </row>
    <row r="374" spans="1:59" ht="30" customHeight="1">
      <c r="A374" s="1266">
        <v>91</v>
      </c>
      <c r="B374" s="1235" t="str">
        <f>IF(基本情報入力シート!C144="","",基本情報入力シート!C144)</f>
        <v/>
      </c>
      <c r="C374" s="1236"/>
      <c r="D374" s="1236"/>
      <c r="E374" s="1236"/>
      <c r="F374" s="1237"/>
      <c r="G374" s="1252" t="str">
        <f>IF(基本情報入力シート!M144="","",基本情報入力シート!M144)</f>
        <v/>
      </c>
      <c r="H374" s="1252" t="str">
        <f>IF(基本情報入力シート!R144="","",基本情報入力シート!R144)</f>
        <v/>
      </c>
      <c r="I374" s="1252" t="str">
        <f>IF(基本情報入力シート!W144="","",基本情報入力シート!W144)</f>
        <v/>
      </c>
      <c r="J374" s="1415" t="str">
        <f>IF(基本情報入力シート!X144="","",基本情報入力シート!X144)</f>
        <v/>
      </c>
      <c r="K374" s="1252" t="str">
        <f>IF(基本情報入力シート!Y144="","",基本情報入力シート!Y144)</f>
        <v/>
      </c>
      <c r="L374" s="1421" t="str">
        <f>IF(基本情報入力シート!AB144="","",基本情報入力シート!AB144)</f>
        <v/>
      </c>
      <c r="M374" s="550" t="str">
        <f>IF('別紙様式2-2（４・５月分）'!P284="","",'別紙様式2-2（４・５月分）'!P284)</f>
        <v/>
      </c>
      <c r="N374" s="1391" t="str">
        <f>IF(SUM('別紙様式2-2（４・５月分）'!Q284:Q286)=0,"",SUM('別紙様式2-2（４・５月分）'!Q284:Q286))</f>
        <v/>
      </c>
      <c r="O374" s="1395" t="str">
        <f>IFERROR(VLOOKUP('別紙様式2-2（４・５月分）'!AQ284,【参考】数式用!$AR$5:$AS$22,2,FALSE),"")</f>
        <v/>
      </c>
      <c r="P374" s="1396"/>
      <c r="Q374" s="1397"/>
      <c r="R374" s="1531" t="str">
        <f>IFERROR(VLOOKUP(K374,【参考】数式用!$A$5:$AB$37,MATCH(O374,【参考】数式用!$B$4:$AB$4,0)+1,0),"")</f>
        <v/>
      </c>
      <c r="S374" s="1403" t="s">
        <v>2102</v>
      </c>
      <c r="T374" s="1527" t="str">
        <f>IF('別紙様式2-3（６月以降分）'!T374="","",'別紙様式2-3（６月以降分）'!T374)</f>
        <v/>
      </c>
      <c r="U374" s="1529" t="str">
        <f>IFERROR(VLOOKUP(K374,【参考】数式用!$A$5:$AB$37,MATCH(T374,【参考】数式用!$B$4:$AB$4,0)+1,0),"")</f>
        <v/>
      </c>
      <c r="V374" s="1409" t="s">
        <v>15</v>
      </c>
      <c r="W374" s="1525">
        <f>'別紙様式2-3（６月以降分）'!W374</f>
        <v>6</v>
      </c>
      <c r="X374" s="1349" t="s">
        <v>10</v>
      </c>
      <c r="Y374" s="1525">
        <f>'別紙様式2-3（６月以降分）'!Y374</f>
        <v>6</v>
      </c>
      <c r="Z374" s="1349" t="s">
        <v>38</v>
      </c>
      <c r="AA374" s="1525">
        <f>'別紙様式2-3（６月以降分）'!AA374</f>
        <v>7</v>
      </c>
      <c r="AB374" s="1349" t="s">
        <v>10</v>
      </c>
      <c r="AC374" s="1525">
        <f>'別紙様式2-3（６月以降分）'!AC374</f>
        <v>3</v>
      </c>
      <c r="AD374" s="1349" t="s">
        <v>2020</v>
      </c>
      <c r="AE374" s="1349" t="s">
        <v>20</v>
      </c>
      <c r="AF374" s="1349">
        <f>IF(W374&gt;=1,(AA374*12+AC374)-(W374*12+Y374)+1,"")</f>
        <v>10</v>
      </c>
      <c r="AG374" s="1351" t="s">
        <v>33</v>
      </c>
      <c r="AH374" s="1517" t="str">
        <f>'別紙様式2-3（６月以降分）'!AH374</f>
        <v/>
      </c>
      <c r="AI374" s="1519" t="str">
        <f>'別紙様式2-3（６月以降分）'!AI374</f>
        <v/>
      </c>
      <c r="AJ374" s="1521">
        <f>'別紙様式2-3（６月以降分）'!AJ374</f>
        <v>0</v>
      </c>
      <c r="AK374" s="1523" t="str">
        <f>IF('別紙様式2-3（６月以降分）'!AK374="","",'別紙様式2-3（６月以降分）'!AK374)</f>
        <v/>
      </c>
      <c r="AL374" s="1512">
        <f>'別紙様式2-3（６月以降分）'!AL374</f>
        <v>0</v>
      </c>
      <c r="AM374" s="1514" t="str">
        <f>IF('別紙様式2-3（６月以降分）'!AM374="","",'別紙様式2-3（６月以降分）'!AM374)</f>
        <v/>
      </c>
      <c r="AN374" s="1333" t="str">
        <f>IF('別紙様式2-3（６月以降分）'!AN374="","",'別紙様式2-3（６月以降分）'!AN374)</f>
        <v/>
      </c>
      <c r="AO374" s="1331" t="str">
        <f>IF('別紙様式2-3（６月以降分）'!AO374="","",'別紙様式2-3（６月以降分）'!AO374)</f>
        <v/>
      </c>
      <c r="AP374" s="1333" t="str">
        <f>IF('別紙様式2-3（６月以降分）'!AP374="","",'別紙様式2-3（６月以降分）'!AP374)</f>
        <v/>
      </c>
      <c r="AQ374" s="1481" t="str">
        <f>IF('別紙様式2-3（６月以降分）'!AQ374="","",'別紙様式2-3（６月以降分）'!AQ374)</f>
        <v/>
      </c>
      <c r="AR374" s="1484" t="str">
        <f>IF('別紙様式2-3（６月以降分）'!AR374="","",'別紙様式2-3（６月以降分）'!AR374)</f>
        <v/>
      </c>
      <c r="AS374" s="570" t="str">
        <f t="shared" ref="AS374" si="623">IF(AU376="","",IF(U376&lt;U374,"！加算の要件上は問題ありませんが、令和６年度当初の新加算の加算率と比較して、移行後の加算率が下がる計画になっています。",""))</f>
        <v/>
      </c>
      <c r="AT374" s="577"/>
      <c r="AU374" s="1301"/>
      <c r="AV374" s="555" t="str">
        <f>IF('別紙様式2-2（４・５月分）'!N284="","",'別紙様式2-2（４・５月分）'!N284)</f>
        <v/>
      </c>
      <c r="AW374" s="1305" t="str">
        <f>IF(SUM('別紙様式2-2（４・５月分）'!O284:O286)=0,"",SUM('別紙様式2-2（４・５月分）'!O284:O286))</f>
        <v/>
      </c>
      <c r="AX374" s="1473" t="str">
        <f>IFERROR(VLOOKUP(K374,【参考】数式用!$AH$2:$AI$34,2,FALSE),"")</f>
        <v/>
      </c>
      <c r="AY374" s="493"/>
      <c r="BD374" s="340"/>
      <c r="BE374" s="1303" t="str">
        <f>G374</f>
        <v/>
      </c>
      <c r="BF374" s="1303"/>
      <c r="BG374" s="1303"/>
    </row>
    <row r="375" spans="1:59" ht="15" customHeight="1">
      <c r="A375" s="1267"/>
      <c r="B375" s="1235"/>
      <c r="C375" s="1236"/>
      <c r="D375" s="1236"/>
      <c r="E375" s="1236"/>
      <c r="F375" s="1237"/>
      <c r="G375" s="1252"/>
      <c r="H375" s="1252"/>
      <c r="I375" s="1252"/>
      <c r="J375" s="1415"/>
      <c r="K375" s="1252"/>
      <c r="L375" s="1421"/>
      <c r="M375" s="1371" t="str">
        <f>IF('別紙様式2-2（４・５月分）'!P285="","",'別紙様式2-2（４・５月分）'!P285)</f>
        <v/>
      </c>
      <c r="N375" s="1392"/>
      <c r="O375" s="1398"/>
      <c r="P375" s="1399"/>
      <c r="Q375" s="1400"/>
      <c r="R375" s="1532"/>
      <c r="S375" s="1404"/>
      <c r="T375" s="1528"/>
      <c r="U375" s="1530"/>
      <c r="V375" s="1410"/>
      <c r="W375" s="1526"/>
      <c r="X375" s="1350"/>
      <c r="Y375" s="1526"/>
      <c r="Z375" s="1350"/>
      <c r="AA375" s="1526"/>
      <c r="AB375" s="1350"/>
      <c r="AC375" s="1526"/>
      <c r="AD375" s="1350"/>
      <c r="AE375" s="1350"/>
      <c r="AF375" s="1350"/>
      <c r="AG375" s="1352"/>
      <c r="AH375" s="1518"/>
      <c r="AI375" s="1520"/>
      <c r="AJ375" s="1522"/>
      <c r="AK375" s="1524"/>
      <c r="AL375" s="1513"/>
      <c r="AM375" s="1515"/>
      <c r="AN375" s="1334"/>
      <c r="AO375" s="1516"/>
      <c r="AP375" s="1334"/>
      <c r="AQ375" s="1482"/>
      <c r="AR375" s="1485"/>
      <c r="AS375" s="1483" t="str">
        <f t="shared" ref="AS375" si="624">IF(AU376="","",IF(OR(AA376="",AA376&lt;&gt;7,AC376="",AC376&lt;&gt;3),"！算定期間の終わりが令和７年３月になっていません。年度内の廃止予定等がなければ、算定対象月を令和７年３月にしてください。",""))</f>
        <v/>
      </c>
      <c r="AT375" s="577"/>
      <c r="AU375" s="1303"/>
      <c r="AV375" s="1304" t="str">
        <f>IF('別紙様式2-2（４・５月分）'!N285="","",'別紙様式2-2（４・５月分）'!N285)</f>
        <v/>
      </c>
      <c r="AW375" s="1305"/>
      <c r="AX375" s="1474"/>
      <c r="AY375" s="430"/>
      <c r="BD375" s="340"/>
      <c r="BE375" s="1303" t="str">
        <f>G374</f>
        <v/>
      </c>
      <c r="BF375" s="1303"/>
      <c r="BG375" s="1303"/>
    </row>
    <row r="376" spans="1:59" ht="15" customHeight="1">
      <c r="A376" s="1295"/>
      <c r="B376" s="1235"/>
      <c r="C376" s="1236"/>
      <c r="D376" s="1236"/>
      <c r="E376" s="1236"/>
      <c r="F376" s="1237"/>
      <c r="G376" s="1252"/>
      <c r="H376" s="1252"/>
      <c r="I376" s="1252"/>
      <c r="J376" s="1415"/>
      <c r="K376" s="1252"/>
      <c r="L376" s="1421"/>
      <c r="M376" s="1372"/>
      <c r="N376" s="1393"/>
      <c r="O376" s="1373" t="s">
        <v>2025</v>
      </c>
      <c r="P376" s="1425" t="str">
        <f>IFERROR(VLOOKUP('別紙様式2-2（４・５月分）'!AQ284,【参考】数式用!$AR$5:$AT$22,3,FALSE),"")</f>
        <v/>
      </c>
      <c r="Q376" s="1377" t="s">
        <v>2036</v>
      </c>
      <c r="R376" s="1508" t="str">
        <f>IFERROR(VLOOKUP(K374,【参考】数式用!$A$5:$AB$37,MATCH(P376,【参考】数式用!$B$4:$AB$4,0)+1,0),"")</f>
        <v/>
      </c>
      <c r="S376" s="1381" t="s">
        <v>2109</v>
      </c>
      <c r="T376" s="1510"/>
      <c r="U376" s="1506" t="str">
        <f>IFERROR(VLOOKUP(K374,【参考】数式用!$A$5:$AB$37,MATCH(T376,【参考】数式用!$B$4:$AB$4,0)+1,0),"")</f>
        <v/>
      </c>
      <c r="V376" s="1387" t="s">
        <v>15</v>
      </c>
      <c r="W376" s="1504"/>
      <c r="X376" s="1363" t="s">
        <v>10</v>
      </c>
      <c r="Y376" s="1504"/>
      <c r="Z376" s="1363" t="s">
        <v>38</v>
      </c>
      <c r="AA376" s="1504"/>
      <c r="AB376" s="1363" t="s">
        <v>10</v>
      </c>
      <c r="AC376" s="1504"/>
      <c r="AD376" s="1363" t="s">
        <v>2020</v>
      </c>
      <c r="AE376" s="1363" t="s">
        <v>20</v>
      </c>
      <c r="AF376" s="1363" t="str">
        <f>IF(W376&gt;=1,(AA376*12+AC376)-(W376*12+Y376)+1,"")</f>
        <v/>
      </c>
      <c r="AG376" s="1359" t="s">
        <v>33</v>
      </c>
      <c r="AH376" s="1365" t="str">
        <f t="shared" ref="AH376" si="625">IFERROR(ROUNDDOWN(ROUND(L374*U376,0),0)*AF376,"")</f>
        <v/>
      </c>
      <c r="AI376" s="1498" t="str">
        <f t="shared" ref="AI376" si="626">IFERROR(ROUNDDOWN(ROUND((L374*(U376-AW374)),0),0)*AF376,"")</f>
        <v/>
      </c>
      <c r="AJ376" s="1369" t="str">
        <f>IFERROR(ROUNDDOWN(ROUNDDOWN(ROUND(L374*VLOOKUP(K374,【参考】数式用!$A$5:$AB$27,MATCH("新加算Ⅳ",【参考】数式用!$B$4:$AB$4,0)+1,0),0),0)*AF376*0.5,0),"")</f>
        <v/>
      </c>
      <c r="AK376" s="1500"/>
      <c r="AL376" s="1502" t="str">
        <f>IFERROR(IF('別紙様式2-2（４・５月分）'!P376="ベア加算","", IF(OR(T376="新加算Ⅰ",T376="新加算Ⅱ",T376="新加算Ⅲ",T376="新加算Ⅳ"),ROUNDDOWN(ROUND(L374*VLOOKUP(K374,【参考】数式用!$A$5:$I$27,MATCH("ベア加算",【参考】数式用!$B$4:$I$4,0)+1,0),0),0)*AF376,"")),"")</f>
        <v/>
      </c>
      <c r="AM376" s="1494"/>
      <c r="AN376" s="1475"/>
      <c r="AO376" s="1496"/>
      <c r="AP376" s="1475"/>
      <c r="AQ376" s="1477"/>
      <c r="AR376" s="1479"/>
      <c r="AS376" s="1483"/>
      <c r="AT376" s="451"/>
      <c r="AU376" s="1303" t="str">
        <f>IF(AND(AA374&lt;&gt;7,AC374&lt;&gt;3),"V列に色付け","")</f>
        <v/>
      </c>
      <c r="AV376" s="1304"/>
      <c r="AW376" s="1305"/>
      <c r="AX376" s="574"/>
      <c r="AY376" s="1222" t="str">
        <f>IF(AL376&lt;&gt;"",IF(AM376="○","入力済","未入力"),"")</f>
        <v/>
      </c>
      <c r="AZ376" s="1222"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2" t="str">
        <f>IF(OR(T376="新加算Ⅴ（７）",T376="新加算Ⅴ（９）",T376="新加算Ⅴ（10）",T376="新加算Ⅴ（12）",T376="新加算Ⅴ（13）",T376="新加算Ⅴ（14）"),IF(OR(AO376="○",AO376="令和６年度中に満たす"),"入力済","未入力"),"")</f>
        <v/>
      </c>
      <c r="BB376" s="1222" t="str">
        <f>IF(OR(T376="新加算Ⅰ",T376="新加算Ⅱ",T376="新加算Ⅲ",T376="新加算Ⅴ（１）",T376="新加算Ⅴ（３）",T376="新加算Ⅴ（８）"),IF(OR(AP376="○",AP376="令和６年度中に満たす"),"入力済","未入力"),"")</f>
        <v/>
      </c>
      <c r="BC376" s="1472"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03" t="str">
        <f>IF(OR(T376="新加算Ⅰ",T376="新加算Ⅴ（１）",T376="新加算Ⅴ（２）",T376="新加算Ⅴ（５）",T376="新加算Ⅴ（７）",T376="新加算Ⅴ（10）"),IF(AR376="","未入力","入力済"),"")</f>
        <v/>
      </c>
      <c r="BE376" s="1303" t="str">
        <f>G374</f>
        <v/>
      </c>
      <c r="BF376" s="1303"/>
      <c r="BG376" s="1303"/>
    </row>
    <row r="377" spans="1:59" ht="30" customHeight="1" thickBot="1">
      <c r="A377" s="1268"/>
      <c r="B377" s="1411"/>
      <c r="C377" s="1412"/>
      <c r="D377" s="1412"/>
      <c r="E377" s="1412"/>
      <c r="F377" s="1413"/>
      <c r="G377" s="1253"/>
      <c r="H377" s="1253"/>
      <c r="I377" s="1253"/>
      <c r="J377" s="1416"/>
      <c r="K377" s="1253"/>
      <c r="L377" s="1422"/>
      <c r="M377" s="553" t="str">
        <f>IF('別紙様式2-2（４・５月分）'!P286="","",'別紙様式2-2（４・５月分）'!P286)</f>
        <v/>
      </c>
      <c r="N377" s="1394"/>
      <c r="O377" s="1374"/>
      <c r="P377" s="1426"/>
      <c r="Q377" s="1378"/>
      <c r="R377" s="1509"/>
      <c r="S377" s="1382"/>
      <c r="T377" s="1511"/>
      <c r="U377" s="1507"/>
      <c r="V377" s="1388"/>
      <c r="W377" s="1505"/>
      <c r="X377" s="1364"/>
      <c r="Y377" s="1505"/>
      <c r="Z377" s="1364"/>
      <c r="AA377" s="1505"/>
      <c r="AB377" s="1364"/>
      <c r="AC377" s="1505"/>
      <c r="AD377" s="1364"/>
      <c r="AE377" s="1364"/>
      <c r="AF377" s="1364"/>
      <c r="AG377" s="1360"/>
      <c r="AH377" s="1366"/>
      <c r="AI377" s="1499"/>
      <c r="AJ377" s="1370"/>
      <c r="AK377" s="1501"/>
      <c r="AL377" s="1503"/>
      <c r="AM377" s="1495"/>
      <c r="AN377" s="1476"/>
      <c r="AO377" s="1497"/>
      <c r="AP377" s="1476"/>
      <c r="AQ377" s="1478"/>
      <c r="AR377" s="1480"/>
      <c r="AS377" s="575"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1"/>
      <c r="AU377" s="1303"/>
      <c r="AV377" s="555" t="str">
        <f>IF('別紙様式2-2（４・５月分）'!N286="","",'別紙様式2-2（４・５月分）'!N286)</f>
        <v/>
      </c>
      <c r="AW377" s="1305"/>
      <c r="AX377" s="576"/>
      <c r="AY377" s="1222" t="str">
        <f>IF(OR(T377="新加算Ⅰ",T377="新加算Ⅱ",T377="新加算Ⅲ",T377="新加算Ⅳ",T377="新加算Ⅴ（１）",T377="新加算Ⅴ（２）",T377="新加算Ⅴ（３）",T377="新加算ⅠⅤ（４）",T377="新加算Ⅴ（５）",T377="新加算Ⅴ（６）",T377="新加算Ⅴ（８）",T377="新加算Ⅴ（11）"),IF(AI377="○","","未入力"),"")</f>
        <v/>
      </c>
      <c r="AZ377" s="1222" t="str">
        <f>IF(OR(U377="新加算Ⅰ",U377="新加算Ⅱ",U377="新加算Ⅲ",U377="新加算Ⅳ",U377="新加算Ⅴ（１）",U377="新加算Ⅴ（２）",U377="新加算Ⅴ（３）",U377="新加算ⅠⅤ（４）",U377="新加算Ⅴ（５）",U377="新加算Ⅴ（６）",U377="新加算Ⅴ（８）",U377="新加算Ⅴ（11）"),IF(AJ377="○","","未入力"),"")</f>
        <v/>
      </c>
      <c r="BA377" s="1222" t="str">
        <f>IF(OR(U377="新加算Ⅴ（７）",U377="新加算Ⅴ（９）",U377="新加算Ⅴ（10）",U377="新加算Ⅴ（12）",U377="新加算Ⅴ（13）",U377="新加算Ⅴ（14）"),IF(AK377="○","","未入力"),"")</f>
        <v/>
      </c>
      <c r="BB377" s="1222" t="str">
        <f>IF(OR(U377="新加算Ⅰ",U377="新加算Ⅱ",U377="新加算Ⅲ",U377="新加算Ⅴ（１）",U377="新加算Ⅴ（３）",U377="新加算Ⅴ（８）"),IF(AL377="○","","未入力"),"")</f>
        <v/>
      </c>
      <c r="BC377" s="1472"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03" t="str">
        <f>IF(AND(T377&lt;&gt;"（参考）令和７年度の移行予定",OR(U377="新加算Ⅰ",U377="新加算Ⅴ（１）",U377="新加算Ⅴ（２）",U377="新加算Ⅴ（５）",U377="新加算Ⅴ（７）",U377="新加算Ⅴ（10）")),IF(AN377="","未入力",IF(AN377="いずれも取得していない","要件を満たさない","")),"")</f>
        <v/>
      </c>
      <c r="BE377" s="1303" t="str">
        <f>G374</f>
        <v/>
      </c>
      <c r="BF377" s="1303"/>
      <c r="BG377" s="1303"/>
    </row>
    <row r="378" spans="1:59" ht="30" customHeight="1">
      <c r="A378" s="1293">
        <v>92</v>
      </c>
      <c r="B378" s="1232" t="str">
        <f>IF(基本情報入力シート!C145="","",基本情報入力シート!C145)</f>
        <v/>
      </c>
      <c r="C378" s="1233"/>
      <c r="D378" s="1233"/>
      <c r="E378" s="1233"/>
      <c r="F378" s="1234"/>
      <c r="G378" s="1251" t="str">
        <f>IF(基本情報入力シート!M145="","",基本情報入力シート!M145)</f>
        <v/>
      </c>
      <c r="H378" s="1251" t="str">
        <f>IF(基本情報入力シート!R145="","",基本情報入力シート!R145)</f>
        <v/>
      </c>
      <c r="I378" s="1251" t="str">
        <f>IF(基本情報入力シート!W145="","",基本情報入力シート!W145)</f>
        <v/>
      </c>
      <c r="J378" s="1414" t="str">
        <f>IF(基本情報入力シート!X145="","",基本情報入力シート!X145)</f>
        <v/>
      </c>
      <c r="K378" s="1251" t="str">
        <f>IF(基本情報入力シート!Y145="","",基本情報入力シート!Y145)</f>
        <v/>
      </c>
      <c r="L378" s="1427" t="str">
        <f>IF(基本情報入力シート!AB145="","",基本情報入力シート!AB145)</f>
        <v/>
      </c>
      <c r="M378" s="550" t="str">
        <f>IF('別紙様式2-2（４・５月分）'!P287="","",'別紙様式2-2（４・５月分）'!P287)</f>
        <v/>
      </c>
      <c r="N378" s="1391" t="str">
        <f>IF(SUM('別紙様式2-2（４・５月分）'!Q287:Q289)=0,"",SUM('別紙様式2-2（４・５月分）'!Q287:Q289))</f>
        <v/>
      </c>
      <c r="O378" s="1395" t="str">
        <f>IFERROR(VLOOKUP('別紙様式2-2（４・５月分）'!AQ287,【参考】数式用!$AR$5:$AS$22,2,FALSE),"")</f>
        <v/>
      </c>
      <c r="P378" s="1396"/>
      <c r="Q378" s="1397"/>
      <c r="R378" s="1531" t="str">
        <f>IFERROR(VLOOKUP(K378,【参考】数式用!$A$5:$AB$37,MATCH(O378,【参考】数式用!$B$4:$AB$4,0)+1,0),"")</f>
        <v/>
      </c>
      <c r="S378" s="1403" t="s">
        <v>2102</v>
      </c>
      <c r="T378" s="1527" t="str">
        <f>IF('別紙様式2-3（６月以降分）'!T378="","",'別紙様式2-3（６月以降分）'!T378)</f>
        <v/>
      </c>
      <c r="U378" s="1529" t="str">
        <f>IFERROR(VLOOKUP(K378,【参考】数式用!$A$5:$AB$37,MATCH(T378,【参考】数式用!$B$4:$AB$4,0)+1,0),"")</f>
        <v/>
      </c>
      <c r="V378" s="1409" t="s">
        <v>15</v>
      </c>
      <c r="W378" s="1525">
        <f>'別紙様式2-3（６月以降分）'!W378</f>
        <v>6</v>
      </c>
      <c r="X378" s="1349" t="s">
        <v>10</v>
      </c>
      <c r="Y378" s="1525">
        <f>'別紙様式2-3（６月以降分）'!Y378</f>
        <v>6</v>
      </c>
      <c r="Z378" s="1349" t="s">
        <v>38</v>
      </c>
      <c r="AA378" s="1525">
        <f>'別紙様式2-3（６月以降分）'!AA378</f>
        <v>7</v>
      </c>
      <c r="AB378" s="1349" t="s">
        <v>10</v>
      </c>
      <c r="AC378" s="1525">
        <f>'別紙様式2-3（６月以降分）'!AC378</f>
        <v>3</v>
      </c>
      <c r="AD378" s="1349" t="s">
        <v>2020</v>
      </c>
      <c r="AE378" s="1349" t="s">
        <v>20</v>
      </c>
      <c r="AF378" s="1349">
        <f>IF(W378&gt;=1,(AA378*12+AC378)-(W378*12+Y378)+1,"")</f>
        <v>10</v>
      </c>
      <c r="AG378" s="1351" t="s">
        <v>33</v>
      </c>
      <c r="AH378" s="1517" t="str">
        <f>'別紙様式2-3（６月以降分）'!AH378</f>
        <v/>
      </c>
      <c r="AI378" s="1519" t="str">
        <f>'別紙様式2-3（６月以降分）'!AI378</f>
        <v/>
      </c>
      <c r="AJ378" s="1521">
        <f>'別紙様式2-3（６月以降分）'!AJ378</f>
        <v>0</v>
      </c>
      <c r="AK378" s="1523" t="str">
        <f>IF('別紙様式2-3（６月以降分）'!AK378="","",'別紙様式2-3（６月以降分）'!AK378)</f>
        <v/>
      </c>
      <c r="AL378" s="1512">
        <f>'別紙様式2-3（６月以降分）'!AL378</f>
        <v>0</v>
      </c>
      <c r="AM378" s="1514" t="str">
        <f>IF('別紙様式2-3（６月以降分）'!AM378="","",'別紙様式2-3（６月以降分）'!AM378)</f>
        <v/>
      </c>
      <c r="AN378" s="1333" t="str">
        <f>IF('別紙様式2-3（６月以降分）'!AN378="","",'別紙様式2-3（６月以降分）'!AN378)</f>
        <v/>
      </c>
      <c r="AO378" s="1331" t="str">
        <f>IF('別紙様式2-3（６月以降分）'!AO378="","",'別紙様式2-3（６月以降分）'!AO378)</f>
        <v/>
      </c>
      <c r="AP378" s="1333" t="str">
        <f>IF('別紙様式2-3（６月以降分）'!AP378="","",'別紙様式2-3（６月以降分）'!AP378)</f>
        <v/>
      </c>
      <c r="AQ378" s="1481" t="str">
        <f>IF('別紙様式2-3（６月以降分）'!AQ378="","",'別紙様式2-3（６月以降分）'!AQ378)</f>
        <v/>
      </c>
      <c r="AR378" s="1484" t="str">
        <f>IF('別紙様式2-3（６月以降分）'!AR378="","",'別紙様式2-3（６月以降分）'!AR378)</f>
        <v/>
      </c>
      <c r="AS378" s="570" t="str">
        <f t="shared" ref="AS378" si="630">IF(AU380="","",IF(U380&lt;U378,"！加算の要件上は問題ありませんが、令和６年度当初の新加算の加算率と比較して、移行後の加算率が下がる計画になっています。",""))</f>
        <v/>
      </c>
      <c r="AT378" s="577"/>
      <c r="AU378" s="1301"/>
      <c r="AV378" s="555" t="str">
        <f>IF('別紙様式2-2（４・５月分）'!N287="","",'別紙様式2-2（４・５月分）'!N287)</f>
        <v/>
      </c>
      <c r="AW378" s="1305" t="str">
        <f>IF(SUM('別紙様式2-2（４・５月分）'!O287:O289)=0,"",SUM('別紙様式2-2（４・５月分）'!O287:O289))</f>
        <v/>
      </c>
      <c r="AX378" s="1473" t="str">
        <f>IFERROR(VLOOKUP(K378,【参考】数式用!$AH$2:$AI$34,2,FALSE),"")</f>
        <v/>
      </c>
      <c r="AY378" s="493"/>
      <c r="BD378" s="340"/>
      <c r="BE378" s="1303" t="str">
        <f>G378</f>
        <v/>
      </c>
      <c r="BF378" s="1303"/>
      <c r="BG378" s="1303"/>
    </row>
    <row r="379" spans="1:59" ht="15" customHeight="1">
      <c r="A379" s="1267"/>
      <c r="B379" s="1235"/>
      <c r="C379" s="1236"/>
      <c r="D379" s="1236"/>
      <c r="E379" s="1236"/>
      <c r="F379" s="1237"/>
      <c r="G379" s="1252"/>
      <c r="H379" s="1252"/>
      <c r="I379" s="1252"/>
      <c r="J379" s="1415"/>
      <c r="K379" s="1252"/>
      <c r="L379" s="1421"/>
      <c r="M379" s="1371" t="str">
        <f>IF('別紙様式2-2（４・５月分）'!P288="","",'別紙様式2-2（４・５月分）'!P288)</f>
        <v/>
      </c>
      <c r="N379" s="1392"/>
      <c r="O379" s="1398"/>
      <c r="P379" s="1399"/>
      <c r="Q379" s="1400"/>
      <c r="R379" s="1532"/>
      <c r="S379" s="1404"/>
      <c r="T379" s="1528"/>
      <c r="U379" s="1530"/>
      <c r="V379" s="1410"/>
      <c r="W379" s="1526"/>
      <c r="X379" s="1350"/>
      <c r="Y379" s="1526"/>
      <c r="Z379" s="1350"/>
      <c r="AA379" s="1526"/>
      <c r="AB379" s="1350"/>
      <c r="AC379" s="1526"/>
      <c r="AD379" s="1350"/>
      <c r="AE379" s="1350"/>
      <c r="AF379" s="1350"/>
      <c r="AG379" s="1352"/>
      <c r="AH379" s="1518"/>
      <c r="AI379" s="1520"/>
      <c r="AJ379" s="1522"/>
      <c r="AK379" s="1524"/>
      <c r="AL379" s="1513"/>
      <c r="AM379" s="1515"/>
      <c r="AN379" s="1334"/>
      <c r="AO379" s="1516"/>
      <c r="AP379" s="1334"/>
      <c r="AQ379" s="1482"/>
      <c r="AR379" s="1485"/>
      <c r="AS379" s="1483" t="str">
        <f t="shared" ref="AS379" si="631">IF(AU380="","",IF(OR(AA380="",AA380&lt;&gt;7,AC380="",AC380&lt;&gt;3),"！算定期間の終わりが令和７年３月になっていません。年度内の廃止予定等がなければ、算定対象月を令和７年３月にしてください。",""))</f>
        <v/>
      </c>
      <c r="AT379" s="577"/>
      <c r="AU379" s="1303"/>
      <c r="AV379" s="1304" t="str">
        <f>IF('別紙様式2-2（４・５月分）'!N288="","",'別紙様式2-2（４・５月分）'!N288)</f>
        <v/>
      </c>
      <c r="AW379" s="1305"/>
      <c r="AX379" s="1474"/>
      <c r="AY379" s="430"/>
      <c r="BD379" s="340"/>
      <c r="BE379" s="1303" t="str">
        <f>G378</f>
        <v/>
      </c>
      <c r="BF379" s="1303"/>
      <c r="BG379" s="1303"/>
    </row>
    <row r="380" spans="1:59" ht="15" customHeight="1">
      <c r="A380" s="1295"/>
      <c r="B380" s="1235"/>
      <c r="C380" s="1236"/>
      <c r="D380" s="1236"/>
      <c r="E380" s="1236"/>
      <c r="F380" s="1237"/>
      <c r="G380" s="1252"/>
      <c r="H380" s="1252"/>
      <c r="I380" s="1252"/>
      <c r="J380" s="1415"/>
      <c r="K380" s="1252"/>
      <c r="L380" s="1421"/>
      <c r="M380" s="1372"/>
      <c r="N380" s="1393"/>
      <c r="O380" s="1373" t="s">
        <v>2025</v>
      </c>
      <c r="P380" s="1425" t="str">
        <f>IFERROR(VLOOKUP('別紙様式2-2（４・５月分）'!AQ287,【参考】数式用!$AR$5:$AT$22,3,FALSE),"")</f>
        <v/>
      </c>
      <c r="Q380" s="1377" t="s">
        <v>2036</v>
      </c>
      <c r="R380" s="1508" t="str">
        <f>IFERROR(VLOOKUP(K378,【参考】数式用!$A$5:$AB$37,MATCH(P380,【参考】数式用!$B$4:$AB$4,0)+1,0),"")</f>
        <v/>
      </c>
      <c r="S380" s="1381" t="s">
        <v>2109</v>
      </c>
      <c r="T380" s="1510"/>
      <c r="U380" s="1506" t="str">
        <f>IFERROR(VLOOKUP(K378,【参考】数式用!$A$5:$AB$37,MATCH(T380,【参考】数式用!$B$4:$AB$4,0)+1,0),"")</f>
        <v/>
      </c>
      <c r="V380" s="1387" t="s">
        <v>15</v>
      </c>
      <c r="W380" s="1504"/>
      <c r="X380" s="1363" t="s">
        <v>10</v>
      </c>
      <c r="Y380" s="1504"/>
      <c r="Z380" s="1363" t="s">
        <v>38</v>
      </c>
      <c r="AA380" s="1504"/>
      <c r="AB380" s="1363" t="s">
        <v>10</v>
      </c>
      <c r="AC380" s="1504"/>
      <c r="AD380" s="1363" t="s">
        <v>2020</v>
      </c>
      <c r="AE380" s="1363" t="s">
        <v>20</v>
      </c>
      <c r="AF380" s="1363" t="str">
        <f>IF(W380&gt;=1,(AA380*12+AC380)-(W380*12+Y380)+1,"")</f>
        <v/>
      </c>
      <c r="AG380" s="1359" t="s">
        <v>33</v>
      </c>
      <c r="AH380" s="1365" t="str">
        <f t="shared" ref="AH380" si="632">IFERROR(ROUNDDOWN(ROUND(L378*U380,0),0)*AF380,"")</f>
        <v/>
      </c>
      <c r="AI380" s="1498" t="str">
        <f t="shared" ref="AI380" si="633">IFERROR(ROUNDDOWN(ROUND((L378*(U380-AW378)),0),0)*AF380,"")</f>
        <v/>
      </c>
      <c r="AJ380" s="1369" t="str">
        <f>IFERROR(ROUNDDOWN(ROUNDDOWN(ROUND(L378*VLOOKUP(K378,【参考】数式用!$A$5:$AB$27,MATCH("新加算Ⅳ",【参考】数式用!$B$4:$AB$4,0)+1,0),0),0)*AF380*0.5,0),"")</f>
        <v/>
      </c>
      <c r="AK380" s="1500"/>
      <c r="AL380" s="1502" t="str">
        <f>IFERROR(IF('別紙様式2-2（４・５月分）'!P380="ベア加算","", IF(OR(T380="新加算Ⅰ",T380="新加算Ⅱ",T380="新加算Ⅲ",T380="新加算Ⅳ"),ROUNDDOWN(ROUND(L378*VLOOKUP(K378,【参考】数式用!$A$5:$I$27,MATCH("ベア加算",【参考】数式用!$B$4:$I$4,0)+1,0),0),0)*AF380,"")),"")</f>
        <v/>
      </c>
      <c r="AM380" s="1494"/>
      <c r="AN380" s="1475"/>
      <c r="AO380" s="1496"/>
      <c r="AP380" s="1475"/>
      <c r="AQ380" s="1477"/>
      <c r="AR380" s="1479"/>
      <c r="AS380" s="1483"/>
      <c r="AT380" s="451"/>
      <c r="AU380" s="1303" t="str">
        <f>IF(AND(AA378&lt;&gt;7,AC378&lt;&gt;3),"V列に色付け","")</f>
        <v/>
      </c>
      <c r="AV380" s="1304"/>
      <c r="AW380" s="1305"/>
      <c r="AX380" s="574"/>
      <c r="AY380" s="1222" t="str">
        <f>IF(AL380&lt;&gt;"",IF(AM380="○","入力済","未入力"),"")</f>
        <v/>
      </c>
      <c r="AZ380" s="1222"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2" t="str">
        <f>IF(OR(T380="新加算Ⅴ（７）",T380="新加算Ⅴ（９）",T380="新加算Ⅴ（10）",T380="新加算Ⅴ（12）",T380="新加算Ⅴ（13）",T380="新加算Ⅴ（14）"),IF(OR(AO380="○",AO380="令和６年度中に満たす"),"入力済","未入力"),"")</f>
        <v/>
      </c>
      <c r="BB380" s="1222" t="str">
        <f>IF(OR(T380="新加算Ⅰ",T380="新加算Ⅱ",T380="新加算Ⅲ",T380="新加算Ⅴ（１）",T380="新加算Ⅴ（３）",T380="新加算Ⅴ（８）"),IF(OR(AP380="○",AP380="令和６年度中に満たす"),"入力済","未入力"),"")</f>
        <v/>
      </c>
      <c r="BC380" s="1472"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03" t="str">
        <f>IF(OR(T380="新加算Ⅰ",T380="新加算Ⅴ（１）",T380="新加算Ⅴ（２）",T380="新加算Ⅴ（５）",T380="新加算Ⅴ（７）",T380="新加算Ⅴ（10）"),IF(AR380="","未入力","入力済"),"")</f>
        <v/>
      </c>
      <c r="BE380" s="1303" t="str">
        <f>G378</f>
        <v/>
      </c>
      <c r="BF380" s="1303"/>
      <c r="BG380" s="1303"/>
    </row>
    <row r="381" spans="1:59" ht="30" customHeight="1" thickBot="1">
      <c r="A381" s="1268"/>
      <c r="B381" s="1411"/>
      <c r="C381" s="1412"/>
      <c r="D381" s="1412"/>
      <c r="E381" s="1412"/>
      <c r="F381" s="1413"/>
      <c r="G381" s="1253"/>
      <c r="H381" s="1253"/>
      <c r="I381" s="1253"/>
      <c r="J381" s="1416"/>
      <c r="K381" s="1253"/>
      <c r="L381" s="1422"/>
      <c r="M381" s="553" t="str">
        <f>IF('別紙様式2-2（４・５月分）'!P289="","",'別紙様式2-2（４・５月分）'!P289)</f>
        <v/>
      </c>
      <c r="N381" s="1394"/>
      <c r="O381" s="1374"/>
      <c r="P381" s="1426"/>
      <c r="Q381" s="1378"/>
      <c r="R381" s="1509"/>
      <c r="S381" s="1382"/>
      <c r="T381" s="1511"/>
      <c r="U381" s="1507"/>
      <c r="V381" s="1388"/>
      <c r="W381" s="1505"/>
      <c r="X381" s="1364"/>
      <c r="Y381" s="1505"/>
      <c r="Z381" s="1364"/>
      <c r="AA381" s="1505"/>
      <c r="AB381" s="1364"/>
      <c r="AC381" s="1505"/>
      <c r="AD381" s="1364"/>
      <c r="AE381" s="1364"/>
      <c r="AF381" s="1364"/>
      <c r="AG381" s="1360"/>
      <c r="AH381" s="1366"/>
      <c r="AI381" s="1499"/>
      <c r="AJ381" s="1370"/>
      <c r="AK381" s="1501"/>
      <c r="AL381" s="1503"/>
      <c r="AM381" s="1495"/>
      <c r="AN381" s="1476"/>
      <c r="AO381" s="1497"/>
      <c r="AP381" s="1476"/>
      <c r="AQ381" s="1478"/>
      <c r="AR381" s="1480"/>
      <c r="AS381" s="575"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1"/>
      <c r="AU381" s="1303"/>
      <c r="AV381" s="555" t="str">
        <f>IF('別紙様式2-2（４・５月分）'!N289="","",'別紙様式2-2（４・５月分）'!N289)</f>
        <v/>
      </c>
      <c r="AW381" s="1305"/>
      <c r="AX381" s="576"/>
      <c r="AY381" s="1222" t="str">
        <f>IF(OR(T381="新加算Ⅰ",T381="新加算Ⅱ",T381="新加算Ⅲ",T381="新加算Ⅳ",T381="新加算Ⅴ（１）",T381="新加算Ⅴ（２）",T381="新加算Ⅴ（３）",T381="新加算ⅠⅤ（４）",T381="新加算Ⅴ（５）",T381="新加算Ⅴ（６）",T381="新加算Ⅴ（８）",T381="新加算Ⅴ（11）"),IF(AI381="○","","未入力"),"")</f>
        <v/>
      </c>
      <c r="AZ381" s="1222" t="str">
        <f>IF(OR(U381="新加算Ⅰ",U381="新加算Ⅱ",U381="新加算Ⅲ",U381="新加算Ⅳ",U381="新加算Ⅴ（１）",U381="新加算Ⅴ（２）",U381="新加算Ⅴ（３）",U381="新加算ⅠⅤ（４）",U381="新加算Ⅴ（５）",U381="新加算Ⅴ（６）",U381="新加算Ⅴ（８）",U381="新加算Ⅴ（11）"),IF(AJ381="○","","未入力"),"")</f>
        <v/>
      </c>
      <c r="BA381" s="1222" t="str">
        <f>IF(OR(U381="新加算Ⅴ（７）",U381="新加算Ⅴ（９）",U381="新加算Ⅴ（10）",U381="新加算Ⅴ（12）",U381="新加算Ⅴ（13）",U381="新加算Ⅴ（14）"),IF(AK381="○","","未入力"),"")</f>
        <v/>
      </c>
      <c r="BB381" s="1222" t="str">
        <f>IF(OR(U381="新加算Ⅰ",U381="新加算Ⅱ",U381="新加算Ⅲ",U381="新加算Ⅴ（１）",U381="新加算Ⅴ（３）",U381="新加算Ⅴ（８）"),IF(AL381="○","","未入力"),"")</f>
        <v/>
      </c>
      <c r="BC381" s="1472"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03" t="str">
        <f>IF(AND(T381&lt;&gt;"（参考）令和７年度の移行予定",OR(U381="新加算Ⅰ",U381="新加算Ⅴ（１）",U381="新加算Ⅴ（２）",U381="新加算Ⅴ（５）",U381="新加算Ⅴ（７）",U381="新加算Ⅴ（10）")),IF(AN381="","未入力",IF(AN381="いずれも取得していない","要件を満たさない","")),"")</f>
        <v/>
      </c>
      <c r="BE381" s="1303" t="str">
        <f>G378</f>
        <v/>
      </c>
      <c r="BF381" s="1303"/>
      <c r="BG381" s="1303"/>
    </row>
    <row r="382" spans="1:59" ht="30" customHeight="1">
      <c r="A382" s="1266">
        <v>93</v>
      </c>
      <c r="B382" s="1235" t="str">
        <f>IF(基本情報入力シート!C146="","",基本情報入力シート!C146)</f>
        <v/>
      </c>
      <c r="C382" s="1236"/>
      <c r="D382" s="1236"/>
      <c r="E382" s="1236"/>
      <c r="F382" s="1237"/>
      <c r="G382" s="1252" t="str">
        <f>IF(基本情報入力シート!M146="","",基本情報入力シート!M146)</f>
        <v/>
      </c>
      <c r="H382" s="1252" t="str">
        <f>IF(基本情報入力シート!R146="","",基本情報入力シート!R146)</f>
        <v/>
      </c>
      <c r="I382" s="1252" t="str">
        <f>IF(基本情報入力シート!W146="","",基本情報入力シート!W146)</f>
        <v/>
      </c>
      <c r="J382" s="1415" t="str">
        <f>IF(基本情報入力シート!X146="","",基本情報入力シート!X146)</f>
        <v/>
      </c>
      <c r="K382" s="1252" t="str">
        <f>IF(基本情報入力シート!Y146="","",基本情報入力シート!Y146)</f>
        <v/>
      </c>
      <c r="L382" s="1421" t="str">
        <f>IF(基本情報入力シート!AB146="","",基本情報入力シート!AB146)</f>
        <v/>
      </c>
      <c r="M382" s="550" t="str">
        <f>IF('別紙様式2-2（４・５月分）'!P290="","",'別紙様式2-2（４・５月分）'!P290)</f>
        <v/>
      </c>
      <c r="N382" s="1391" t="str">
        <f>IF(SUM('別紙様式2-2（４・５月分）'!Q290:Q292)=0,"",SUM('別紙様式2-2（４・５月分）'!Q290:Q292))</f>
        <v/>
      </c>
      <c r="O382" s="1395" t="str">
        <f>IFERROR(VLOOKUP('別紙様式2-2（４・５月分）'!AQ290,【参考】数式用!$AR$5:$AS$22,2,FALSE),"")</f>
        <v/>
      </c>
      <c r="P382" s="1396"/>
      <c r="Q382" s="1397"/>
      <c r="R382" s="1531" t="str">
        <f>IFERROR(VLOOKUP(K382,【参考】数式用!$A$5:$AB$37,MATCH(O382,【参考】数式用!$B$4:$AB$4,0)+1,0),"")</f>
        <v/>
      </c>
      <c r="S382" s="1403" t="s">
        <v>2102</v>
      </c>
      <c r="T382" s="1527" t="str">
        <f>IF('別紙様式2-3（６月以降分）'!T382="","",'別紙様式2-3（６月以降分）'!T382)</f>
        <v/>
      </c>
      <c r="U382" s="1529" t="str">
        <f>IFERROR(VLOOKUP(K382,【参考】数式用!$A$5:$AB$37,MATCH(T382,【参考】数式用!$B$4:$AB$4,0)+1,0),"")</f>
        <v/>
      </c>
      <c r="V382" s="1409" t="s">
        <v>15</v>
      </c>
      <c r="W382" s="1525">
        <f>'別紙様式2-3（６月以降分）'!W382</f>
        <v>6</v>
      </c>
      <c r="X382" s="1349" t="s">
        <v>10</v>
      </c>
      <c r="Y382" s="1525">
        <f>'別紙様式2-3（６月以降分）'!Y382</f>
        <v>6</v>
      </c>
      <c r="Z382" s="1349" t="s">
        <v>38</v>
      </c>
      <c r="AA382" s="1525">
        <f>'別紙様式2-3（６月以降分）'!AA382</f>
        <v>7</v>
      </c>
      <c r="AB382" s="1349" t="s">
        <v>10</v>
      </c>
      <c r="AC382" s="1525">
        <f>'別紙様式2-3（６月以降分）'!AC382</f>
        <v>3</v>
      </c>
      <c r="AD382" s="1349" t="s">
        <v>2020</v>
      </c>
      <c r="AE382" s="1349" t="s">
        <v>20</v>
      </c>
      <c r="AF382" s="1349">
        <f>IF(W382&gt;=1,(AA382*12+AC382)-(W382*12+Y382)+1,"")</f>
        <v>10</v>
      </c>
      <c r="AG382" s="1351" t="s">
        <v>33</v>
      </c>
      <c r="AH382" s="1517" t="str">
        <f>'別紙様式2-3（６月以降分）'!AH382</f>
        <v/>
      </c>
      <c r="AI382" s="1519" t="str">
        <f>'別紙様式2-3（６月以降分）'!AI382</f>
        <v/>
      </c>
      <c r="AJ382" s="1521">
        <f>'別紙様式2-3（６月以降分）'!AJ382</f>
        <v>0</v>
      </c>
      <c r="AK382" s="1523" t="str">
        <f>IF('別紙様式2-3（６月以降分）'!AK382="","",'別紙様式2-3（６月以降分）'!AK382)</f>
        <v/>
      </c>
      <c r="AL382" s="1512">
        <f>'別紙様式2-3（６月以降分）'!AL382</f>
        <v>0</v>
      </c>
      <c r="AM382" s="1514" t="str">
        <f>IF('別紙様式2-3（６月以降分）'!AM382="","",'別紙様式2-3（６月以降分）'!AM382)</f>
        <v/>
      </c>
      <c r="AN382" s="1333" t="str">
        <f>IF('別紙様式2-3（６月以降分）'!AN382="","",'別紙様式2-3（６月以降分）'!AN382)</f>
        <v/>
      </c>
      <c r="AO382" s="1331" t="str">
        <f>IF('別紙様式2-3（６月以降分）'!AO382="","",'別紙様式2-3（６月以降分）'!AO382)</f>
        <v/>
      </c>
      <c r="AP382" s="1333" t="str">
        <f>IF('別紙様式2-3（６月以降分）'!AP382="","",'別紙様式2-3（６月以降分）'!AP382)</f>
        <v/>
      </c>
      <c r="AQ382" s="1481" t="str">
        <f>IF('別紙様式2-3（６月以降分）'!AQ382="","",'別紙様式2-3（６月以降分）'!AQ382)</f>
        <v/>
      </c>
      <c r="AR382" s="1484" t="str">
        <f>IF('別紙様式2-3（６月以降分）'!AR382="","",'別紙様式2-3（６月以降分）'!AR382)</f>
        <v/>
      </c>
      <c r="AS382" s="570" t="str">
        <f t="shared" ref="AS382" si="637">IF(AU384="","",IF(U384&lt;U382,"！加算の要件上は問題ありませんが、令和６年度当初の新加算の加算率と比較して、移行後の加算率が下がる計画になっています。",""))</f>
        <v/>
      </c>
      <c r="AT382" s="577"/>
      <c r="AU382" s="1301"/>
      <c r="AV382" s="555" t="str">
        <f>IF('別紙様式2-2（４・５月分）'!N290="","",'別紙様式2-2（４・５月分）'!N290)</f>
        <v/>
      </c>
      <c r="AW382" s="1305" t="str">
        <f>IF(SUM('別紙様式2-2（４・５月分）'!O290:O292)=0,"",SUM('別紙様式2-2（４・５月分）'!O290:O292))</f>
        <v/>
      </c>
      <c r="AX382" s="1473" t="str">
        <f>IFERROR(VLOOKUP(K382,【参考】数式用!$AH$2:$AI$34,2,FALSE),"")</f>
        <v/>
      </c>
      <c r="AY382" s="493"/>
      <c r="BD382" s="340"/>
      <c r="BE382" s="1303" t="str">
        <f>G382</f>
        <v/>
      </c>
      <c r="BF382" s="1303"/>
      <c r="BG382" s="1303"/>
    </row>
    <row r="383" spans="1:59" ht="15" customHeight="1">
      <c r="A383" s="1267"/>
      <c r="B383" s="1235"/>
      <c r="C383" s="1236"/>
      <c r="D383" s="1236"/>
      <c r="E383" s="1236"/>
      <c r="F383" s="1237"/>
      <c r="G383" s="1252"/>
      <c r="H383" s="1252"/>
      <c r="I383" s="1252"/>
      <c r="J383" s="1415"/>
      <c r="K383" s="1252"/>
      <c r="L383" s="1421"/>
      <c r="M383" s="1371" t="str">
        <f>IF('別紙様式2-2（４・５月分）'!P291="","",'別紙様式2-2（４・５月分）'!P291)</f>
        <v/>
      </c>
      <c r="N383" s="1392"/>
      <c r="O383" s="1398"/>
      <c r="P383" s="1399"/>
      <c r="Q383" s="1400"/>
      <c r="R383" s="1532"/>
      <c r="S383" s="1404"/>
      <c r="T383" s="1528"/>
      <c r="U383" s="1530"/>
      <c r="V383" s="1410"/>
      <c r="W383" s="1526"/>
      <c r="X383" s="1350"/>
      <c r="Y383" s="1526"/>
      <c r="Z383" s="1350"/>
      <c r="AA383" s="1526"/>
      <c r="AB383" s="1350"/>
      <c r="AC383" s="1526"/>
      <c r="AD383" s="1350"/>
      <c r="AE383" s="1350"/>
      <c r="AF383" s="1350"/>
      <c r="AG383" s="1352"/>
      <c r="AH383" s="1518"/>
      <c r="AI383" s="1520"/>
      <c r="AJ383" s="1522"/>
      <c r="AK383" s="1524"/>
      <c r="AL383" s="1513"/>
      <c r="AM383" s="1515"/>
      <c r="AN383" s="1334"/>
      <c r="AO383" s="1516"/>
      <c r="AP383" s="1334"/>
      <c r="AQ383" s="1482"/>
      <c r="AR383" s="1485"/>
      <c r="AS383" s="1483" t="str">
        <f t="shared" ref="AS383" si="638">IF(AU384="","",IF(OR(AA384="",AA384&lt;&gt;7,AC384="",AC384&lt;&gt;3),"！算定期間の終わりが令和７年３月になっていません。年度内の廃止予定等がなければ、算定対象月を令和７年３月にしてください。",""))</f>
        <v/>
      </c>
      <c r="AT383" s="577"/>
      <c r="AU383" s="1303"/>
      <c r="AV383" s="1304" t="str">
        <f>IF('別紙様式2-2（４・５月分）'!N291="","",'別紙様式2-2（４・５月分）'!N291)</f>
        <v/>
      </c>
      <c r="AW383" s="1305"/>
      <c r="AX383" s="1474"/>
      <c r="AY383" s="430"/>
      <c r="BD383" s="340"/>
      <c r="BE383" s="1303" t="str">
        <f>G382</f>
        <v/>
      </c>
      <c r="BF383" s="1303"/>
      <c r="BG383" s="1303"/>
    </row>
    <row r="384" spans="1:59" ht="15" customHeight="1">
      <c r="A384" s="1295"/>
      <c r="B384" s="1235"/>
      <c r="C384" s="1236"/>
      <c r="D384" s="1236"/>
      <c r="E384" s="1236"/>
      <c r="F384" s="1237"/>
      <c r="G384" s="1252"/>
      <c r="H384" s="1252"/>
      <c r="I384" s="1252"/>
      <c r="J384" s="1415"/>
      <c r="K384" s="1252"/>
      <c r="L384" s="1421"/>
      <c r="M384" s="1372"/>
      <c r="N384" s="1393"/>
      <c r="O384" s="1373" t="s">
        <v>2025</v>
      </c>
      <c r="P384" s="1425" t="str">
        <f>IFERROR(VLOOKUP('別紙様式2-2（４・５月分）'!AQ290,【参考】数式用!$AR$5:$AT$22,3,FALSE),"")</f>
        <v/>
      </c>
      <c r="Q384" s="1377" t="s">
        <v>2036</v>
      </c>
      <c r="R384" s="1508" t="str">
        <f>IFERROR(VLOOKUP(K382,【参考】数式用!$A$5:$AB$37,MATCH(P384,【参考】数式用!$B$4:$AB$4,0)+1,0),"")</f>
        <v/>
      </c>
      <c r="S384" s="1381" t="s">
        <v>2109</v>
      </c>
      <c r="T384" s="1510"/>
      <c r="U384" s="1506" t="str">
        <f>IFERROR(VLOOKUP(K382,【参考】数式用!$A$5:$AB$37,MATCH(T384,【参考】数式用!$B$4:$AB$4,0)+1,0),"")</f>
        <v/>
      </c>
      <c r="V384" s="1387" t="s">
        <v>15</v>
      </c>
      <c r="W384" s="1504"/>
      <c r="X384" s="1363" t="s">
        <v>10</v>
      </c>
      <c r="Y384" s="1504"/>
      <c r="Z384" s="1363" t="s">
        <v>38</v>
      </c>
      <c r="AA384" s="1504"/>
      <c r="AB384" s="1363" t="s">
        <v>10</v>
      </c>
      <c r="AC384" s="1504"/>
      <c r="AD384" s="1363" t="s">
        <v>2020</v>
      </c>
      <c r="AE384" s="1363" t="s">
        <v>20</v>
      </c>
      <c r="AF384" s="1363" t="str">
        <f>IF(W384&gt;=1,(AA384*12+AC384)-(W384*12+Y384)+1,"")</f>
        <v/>
      </c>
      <c r="AG384" s="1359" t="s">
        <v>33</v>
      </c>
      <c r="AH384" s="1365" t="str">
        <f t="shared" ref="AH384" si="639">IFERROR(ROUNDDOWN(ROUND(L382*U384,0),0)*AF384,"")</f>
        <v/>
      </c>
      <c r="AI384" s="1498" t="str">
        <f t="shared" ref="AI384" si="640">IFERROR(ROUNDDOWN(ROUND((L382*(U384-AW382)),0),0)*AF384,"")</f>
        <v/>
      </c>
      <c r="AJ384" s="1369" t="str">
        <f>IFERROR(ROUNDDOWN(ROUNDDOWN(ROUND(L382*VLOOKUP(K382,【参考】数式用!$A$5:$AB$27,MATCH("新加算Ⅳ",【参考】数式用!$B$4:$AB$4,0)+1,0),0),0)*AF384*0.5,0),"")</f>
        <v/>
      </c>
      <c r="AK384" s="1500"/>
      <c r="AL384" s="1502" t="str">
        <f>IFERROR(IF('別紙様式2-2（４・５月分）'!P384="ベア加算","", IF(OR(T384="新加算Ⅰ",T384="新加算Ⅱ",T384="新加算Ⅲ",T384="新加算Ⅳ"),ROUNDDOWN(ROUND(L382*VLOOKUP(K382,【参考】数式用!$A$5:$I$27,MATCH("ベア加算",【参考】数式用!$B$4:$I$4,0)+1,0),0),0)*AF384,"")),"")</f>
        <v/>
      </c>
      <c r="AM384" s="1494"/>
      <c r="AN384" s="1475"/>
      <c r="AO384" s="1496"/>
      <c r="AP384" s="1475"/>
      <c r="AQ384" s="1477"/>
      <c r="AR384" s="1479"/>
      <c r="AS384" s="1483"/>
      <c r="AT384" s="451"/>
      <c r="AU384" s="1303" t="str">
        <f>IF(AND(AA382&lt;&gt;7,AC382&lt;&gt;3),"V列に色付け","")</f>
        <v/>
      </c>
      <c r="AV384" s="1304"/>
      <c r="AW384" s="1305"/>
      <c r="AX384" s="574"/>
      <c r="AY384" s="1222" t="str">
        <f>IF(AL384&lt;&gt;"",IF(AM384="○","入力済","未入力"),"")</f>
        <v/>
      </c>
      <c r="AZ384" s="1222"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2" t="str">
        <f>IF(OR(T384="新加算Ⅴ（７）",T384="新加算Ⅴ（９）",T384="新加算Ⅴ（10）",T384="新加算Ⅴ（12）",T384="新加算Ⅴ（13）",T384="新加算Ⅴ（14）"),IF(OR(AO384="○",AO384="令和６年度中に満たす"),"入力済","未入力"),"")</f>
        <v/>
      </c>
      <c r="BB384" s="1222" t="str">
        <f>IF(OR(T384="新加算Ⅰ",T384="新加算Ⅱ",T384="新加算Ⅲ",T384="新加算Ⅴ（１）",T384="新加算Ⅴ（３）",T384="新加算Ⅴ（８）"),IF(OR(AP384="○",AP384="令和６年度中に満たす"),"入力済","未入力"),"")</f>
        <v/>
      </c>
      <c r="BC384" s="1472"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03" t="str">
        <f>IF(OR(T384="新加算Ⅰ",T384="新加算Ⅴ（１）",T384="新加算Ⅴ（２）",T384="新加算Ⅴ（５）",T384="新加算Ⅴ（７）",T384="新加算Ⅴ（10）"),IF(AR384="","未入力","入力済"),"")</f>
        <v/>
      </c>
      <c r="BE384" s="1303" t="str">
        <f>G382</f>
        <v/>
      </c>
      <c r="BF384" s="1303"/>
      <c r="BG384" s="1303"/>
    </row>
    <row r="385" spans="1:59" ht="30" customHeight="1" thickBot="1">
      <c r="A385" s="1268"/>
      <c r="B385" s="1411"/>
      <c r="C385" s="1412"/>
      <c r="D385" s="1412"/>
      <c r="E385" s="1412"/>
      <c r="F385" s="1413"/>
      <c r="G385" s="1253"/>
      <c r="H385" s="1253"/>
      <c r="I385" s="1253"/>
      <c r="J385" s="1416"/>
      <c r="K385" s="1253"/>
      <c r="L385" s="1422"/>
      <c r="M385" s="553" t="str">
        <f>IF('別紙様式2-2（４・５月分）'!P292="","",'別紙様式2-2（４・５月分）'!P292)</f>
        <v/>
      </c>
      <c r="N385" s="1394"/>
      <c r="O385" s="1374"/>
      <c r="P385" s="1426"/>
      <c r="Q385" s="1378"/>
      <c r="R385" s="1509"/>
      <c r="S385" s="1382"/>
      <c r="T385" s="1511"/>
      <c r="U385" s="1507"/>
      <c r="V385" s="1388"/>
      <c r="W385" s="1505"/>
      <c r="X385" s="1364"/>
      <c r="Y385" s="1505"/>
      <c r="Z385" s="1364"/>
      <c r="AA385" s="1505"/>
      <c r="AB385" s="1364"/>
      <c r="AC385" s="1505"/>
      <c r="AD385" s="1364"/>
      <c r="AE385" s="1364"/>
      <c r="AF385" s="1364"/>
      <c r="AG385" s="1360"/>
      <c r="AH385" s="1366"/>
      <c r="AI385" s="1499"/>
      <c r="AJ385" s="1370"/>
      <c r="AK385" s="1501"/>
      <c r="AL385" s="1503"/>
      <c r="AM385" s="1495"/>
      <c r="AN385" s="1476"/>
      <c r="AO385" s="1497"/>
      <c r="AP385" s="1476"/>
      <c r="AQ385" s="1478"/>
      <c r="AR385" s="1480"/>
      <c r="AS385" s="575"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1"/>
      <c r="AU385" s="1303"/>
      <c r="AV385" s="555" t="str">
        <f>IF('別紙様式2-2（４・５月分）'!N292="","",'別紙様式2-2（４・５月分）'!N292)</f>
        <v/>
      </c>
      <c r="AW385" s="1305"/>
      <c r="AX385" s="576"/>
      <c r="AY385" s="1222" t="str">
        <f>IF(OR(T385="新加算Ⅰ",T385="新加算Ⅱ",T385="新加算Ⅲ",T385="新加算Ⅳ",T385="新加算Ⅴ（１）",T385="新加算Ⅴ（２）",T385="新加算Ⅴ（３）",T385="新加算ⅠⅤ（４）",T385="新加算Ⅴ（５）",T385="新加算Ⅴ（６）",T385="新加算Ⅴ（８）",T385="新加算Ⅴ（11）"),IF(AI385="○","","未入力"),"")</f>
        <v/>
      </c>
      <c r="AZ385" s="1222" t="str">
        <f>IF(OR(U385="新加算Ⅰ",U385="新加算Ⅱ",U385="新加算Ⅲ",U385="新加算Ⅳ",U385="新加算Ⅴ（１）",U385="新加算Ⅴ（２）",U385="新加算Ⅴ（３）",U385="新加算ⅠⅤ（４）",U385="新加算Ⅴ（５）",U385="新加算Ⅴ（６）",U385="新加算Ⅴ（８）",U385="新加算Ⅴ（11）"),IF(AJ385="○","","未入力"),"")</f>
        <v/>
      </c>
      <c r="BA385" s="1222" t="str">
        <f>IF(OR(U385="新加算Ⅴ（７）",U385="新加算Ⅴ（９）",U385="新加算Ⅴ（10）",U385="新加算Ⅴ（12）",U385="新加算Ⅴ（13）",U385="新加算Ⅴ（14）"),IF(AK385="○","","未入力"),"")</f>
        <v/>
      </c>
      <c r="BB385" s="1222" t="str">
        <f>IF(OR(U385="新加算Ⅰ",U385="新加算Ⅱ",U385="新加算Ⅲ",U385="新加算Ⅴ（１）",U385="新加算Ⅴ（３）",U385="新加算Ⅴ（８）"),IF(AL385="○","","未入力"),"")</f>
        <v/>
      </c>
      <c r="BC385" s="1472"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03" t="str">
        <f>IF(AND(T385&lt;&gt;"（参考）令和７年度の移行予定",OR(U385="新加算Ⅰ",U385="新加算Ⅴ（１）",U385="新加算Ⅴ（２）",U385="新加算Ⅴ（５）",U385="新加算Ⅴ（７）",U385="新加算Ⅴ（10）")),IF(AN385="","未入力",IF(AN385="いずれも取得していない","要件を満たさない","")),"")</f>
        <v/>
      </c>
      <c r="BE385" s="1303" t="str">
        <f>G382</f>
        <v/>
      </c>
      <c r="BF385" s="1303"/>
      <c r="BG385" s="1303"/>
    </row>
    <row r="386" spans="1:59" ht="30" customHeight="1">
      <c r="A386" s="1293">
        <v>94</v>
      </c>
      <c r="B386" s="1232" t="str">
        <f>IF(基本情報入力シート!C147="","",基本情報入力シート!C147)</f>
        <v/>
      </c>
      <c r="C386" s="1233"/>
      <c r="D386" s="1233"/>
      <c r="E386" s="1233"/>
      <c r="F386" s="1234"/>
      <c r="G386" s="1251" t="str">
        <f>IF(基本情報入力シート!M147="","",基本情報入力シート!M147)</f>
        <v/>
      </c>
      <c r="H386" s="1251" t="str">
        <f>IF(基本情報入力シート!R147="","",基本情報入力シート!R147)</f>
        <v/>
      </c>
      <c r="I386" s="1251" t="str">
        <f>IF(基本情報入力シート!W147="","",基本情報入力シート!W147)</f>
        <v/>
      </c>
      <c r="J386" s="1414" t="str">
        <f>IF(基本情報入力シート!X147="","",基本情報入力シート!X147)</f>
        <v/>
      </c>
      <c r="K386" s="1251" t="str">
        <f>IF(基本情報入力シート!Y147="","",基本情報入力シート!Y147)</f>
        <v/>
      </c>
      <c r="L386" s="1427" t="str">
        <f>IF(基本情報入力シート!AB147="","",基本情報入力シート!AB147)</f>
        <v/>
      </c>
      <c r="M386" s="550" t="str">
        <f>IF('別紙様式2-2（４・５月分）'!P293="","",'別紙様式2-2（４・５月分）'!P293)</f>
        <v/>
      </c>
      <c r="N386" s="1391" t="str">
        <f>IF(SUM('別紙様式2-2（４・５月分）'!Q293:Q295)=0,"",SUM('別紙様式2-2（４・５月分）'!Q293:Q295))</f>
        <v/>
      </c>
      <c r="O386" s="1395" t="str">
        <f>IFERROR(VLOOKUP('別紙様式2-2（４・５月分）'!AQ293,【参考】数式用!$AR$5:$AS$22,2,FALSE),"")</f>
        <v/>
      </c>
      <c r="P386" s="1396"/>
      <c r="Q386" s="1397"/>
      <c r="R386" s="1531" t="str">
        <f>IFERROR(VLOOKUP(K386,【参考】数式用!$A$5:$AB$37,MATCH(O386,【参考】数式用!$B$4:$AB$4,0)+1,0),"")</f>
        <v/>
      </c>
      <c r="S386" s="1403" t="s">
        <v>2102</v>
      </c>
      <c r="T386" s="1527" t="str">
        <f>IF('別紙様式2-3（６月以降分）'!T386="","",'別紙様式2-3（６月以降分）'!T386)</f>
        <v/>
      </c>
      <c r="U386" s="1529" t="str">
        <f>IFERROR(VLOOKUP(K386,【参考】数式用!$A$5:$AB$37,MATCH(T386,【参考】数式用!$B$4:$AB$4,0)+1,0),"")</f>
        <v/>
      </c>
      <c r="V386" s="1409" t="s">
        <v>15</v>
      </c>
      <c r="W386" s="1525">
        <f>'別紙様式2-3（６月以降分）'!W386</f>
        <v>6</v>
      </c>
      <c r="X386" s="1349" t="s">
        <v>10</v>
      </c>
      <c r="Y386" s="1525">
        <f>'別紙様式2-3（６月以降分）'!Y386</f>
        <v>6</v>
      </c>
      <c r="Z386" s="1349" t="s">
        <v>38</v>
      </c>
      <c r="AA386" s="1525">
        <f>'別紙様式2-3（６月以降分）'!AA386</f>
        <v>7</v>
      </c>
      <c r="AB386" s="1349" t="s">
        <v>10</v>
      </c>
      <c r="AC386" s="1525">
        <f>'別紙様式2-3（６月以降分）'!AC386</f>
        <v>3</v>
      </c>
      <c r="AD386" s="1349" t="s">
        <v>2020</v>
      </c>
      <c r="AE386" s="1349" t="s">
        <v>20</v>
      </c>
      <c r="AF386" s="1349">
        <f>IF(W386&gt;=1,(AA386*12+AC386)-(W386*12+Y386)+1,"")</f>
        <v>10</v>
      </c>
      <c r="AG386" s="1351" t="s">
        <v>33</v>
      </c>
      <c r="AH386" s="1517" t="str">
        <f>'別紙様式2-3（６月以降分）'!AH386</f>
        <v/>
      </c>
      <c r="AI386" s="1519" t="str">
        <f>'別紙様式2-3（６月以降分）'!AI386</f>
        <v/>
      </c>
      <c r="AJ386" s="1521">
        <f>'別紙様式2-3（６月以降分）'!AJ386</f>
        <v>0</v>
      </c>
      <c r="AK386" s="1523" t="str">
        <f>IF('別紙様式2-3（６月以降分）'!AK386="","",'別紙様式2-3（６月以降分）'!AK386)</f>
        <v/>
      </c>
      <c r="AL386" s="1512">
        <f>'別紙様式2-3（６月以降分）'!AL386</f>
        <v>0</v>
      </c>
      <c r="AM386" s="1514" t="str">
        <f>IF('別紙様式2-3（６月以降分）'!AM386="","",'別紙様式2-3（６月以降分）'!AM386)</f>
        <v/>
      </c>
      <c r="AN386" s="1333" t="str">
        <f>IF('別紙様式2-3（６月以降分）'!AN386="","",'別紙様式2-3（６月以降分）'!AN386)</f>
        <v/>
      </c>
      <c r="AO386" s="1331" t="str">
        <f>IF('別紙様式2-3（６月以降分）'!AO386="","",'別紙様式2-3（６月以降分）'!AO386)</f>
        <v/>
      </c>
      <c r="AP386" s="1333" t="str">
        <f>IF('別紙様式2-3（６月以降分）'!AP386="","",'別紙様式2-3（６月以降分）'!AP386)</f>
        <v/>
      </c>
      <c r="AQ386" s="1481" t="str">
        <f>IF('別紙様式2-3（６月以降分）'!AQ386="","",'別紙様式2-3（６月以降分）'!AQ386)</f>
        <v/>
      </c>
      <c r="AR386" s="1484" t="str">
        <f>IF('別紙様式2-3（６月以降分）'!AR386="","",'別紙様式2-3（６月以降分）'!AR386)</f>
        <v/>
      </c>
      <c r="AS386" s="570" t="str">
        <f t="shared" ref="AS386" si="644">IF(AU388="","",IF(U388&lt;U386,"！加算の要件上は問題ありませんが、令和６年度当初の新加算の加算率と比較して、移行後の加算率が下がる計画になっています。",""))</f>
        <v/>
      </c>
      <c r="AT386" s="577"/>
      <c r="AU386" s="1301"/>
      <c r="AV386" s="555" t="str">
        <f>IF('別紙様式2-2（４・５月分）'!N293="","",'別紙様式2-2（４・５月分）'!N293)</f>
        <v/>
      </c>
      <c r="AW386" s="1305" t="str">
        <f>IF(SUM('別紙様式2-2（４・５月分）'!O293:O295)=0,"",SUM('別紙様式2-2（４・５月分）'!O293:O295))</f>
        <v/>
      </c>
      <c r="AX386" s="1473" t="str">
        <f>IFERROR(VLOOKUP(K386,【参考】数式用!$AH$2:$AI$34,2,FALSE),"")</f>
        <v/>
      </c>
      <c r="AY386" s="493"/>
      <c r="BD386" s="340"/>
      <c r="BE386" s="1303" t="str">
        <f>G386</f>
        <v/>
      </c>
      <c r="BF386" s="1303"/>
      <c r="BG386" s="1303"/>
    </row>
    <row r="387" spans="1:59" ht="15" customHeight="1">
      <c r="A387" s="1267"/>
      <c r="B387" s="1235"/>
      <c r="C387" s="1236"/>
      <c r="D387" s="1236"/>
      <c r="E387" s="1236"/>
      <c r="F387" s="1237"/>
      <c r="G387" s="1252"/>
      <c r="H387" s="1252"/>
      <c r="I387" s="1252"/>
      <c r="J387" s="1415"/>
      <c r="K387" s="1252"/>
      <c r="L387" s="1421"/>
      <c r="M387" s="1371" t="str">
        <f>IF('別紙様式2-2（４・５月分）'!P294="","",'別紙様式2-2（４・５月分）'!P294)</f>
        <v/>
      </c>
      <c r="N387" s="1392"/>
      <c r="O387" s="1398"/>
      <c r="P387" s="1399"/>
      <c r="Q387" s="1400"/>
      <c r="R387" s="1532"/>
      <c r="S387" s="1404"/>
      <c r="T387" s="1528"/>
      <c r="U387" s="1530"/>
      <c r="V387" s="1410"/>
      <c r="W387" s="1526"/>
      <c r="X387" s="1350"/>
      <c r="Y387" s="1526"/>
      <c r="Z387" s="1350"/>
      <c r="AA387" s="1526"/>
      <c r="AB387" s="1350"/>
      <c r="AC387" s="1526"/>
      <c r="AD387" s="1350"/>
      <c r="AE387" s="1350"/>
      <c r="AF387" s="1350"/>
      <c r="AG387" s="1352"/>
      <c r="AH387" s="1518"/>
      <c r="AI387" s="1520"/>
      <c r="AJ387" s="1522"/>
      <c r="AK387" s="1524"/>
      <c r="AL387" s="1513"/>
      <c r="AM387" s="1515"/>
      <c r="AN387" s="1334"/>
      <c r="AO387" s="1516"/>
      <c r="AP387" s="1334"/>
      <c r="AQ387" s="1482"/>
      <c r="AR387" s="1485"/>
      <c r="AS387" s="1483" t="str">
        <f t="shared" ref="AS387" si="645">IF(AU388="","",IF(OR(AA388="",AA388&lt;&gt;7,AC388="",AC388&lt;&gt;3),"！算定期間の終わりが令和７年３月になっていません。年度内の廃止予定等がなければ、算定対象月を令和７年３月にしてください。",""))</f>
        <v/>
      </c>
      <c r="AT387" s="577"/>
      <c r="AU387" s="1303"/>
      <c r="AV387" s="1304" t="str">
        <f>IF('別紙様式2-2（４・５月分）'!N294="","",'別紙様式2-2（４・５月分）'!N294)</f>
        <v/>
      </c>
      <c r="AW387" s="1305"/>
      <c r="AX387" s="1474"/>
      <c r="AY387" s="430"/>
      <c r="BD387" s="340"/>
      <c r="BE387" s="1303" t="str">
        <f>G386</f>
        <v/>
      </c>
      <c r="BF387" s="1303"/>
      <c r="BG387" s="1303"/>
    </row>
    <row r="388" spans="1:59" ht="15" customHeight="1">
      <c r="A388" s="1295"/>
      <c r="B388" s="1235"/>
      <c r="C388" s="1236"/>
      <c r="D388" s="1236"/>
      <c r="E388" s="1236"/>
      <c r="F388" s="1237"/>
      <c r="G388" s="1252"/>
      <c r="H388" s="1252"/>
      <c r="I388" s="1252"/>
      <c r="J388" s="1415"/>
      <c r="K388" s="1252"/>
      <c r="L388" s="1421"/>
      <c r="M388" s="1372"/>
      <c r="N388" s="1393"/>
      <c r="O388" s="1373" t="s">
        <v>2025</v>
      </c>
      <c r="P388" s="1425" t="str">
        <f>IFERROR(VLOOKUP('別紙様式2-2（４・５月分）'!AQ293,【参考】数式用!$AR$5:$AT$22,3,FALSE),"")</f>
        <v/>
      </c>
      <c r="Q388" s="1377" t="s">
        <v>2036</v>
      </c>
      <c r="R388" s="1508" t="str">
        <f>IFERROR(VLOOKUP(K386,【参考】数式用!$A$5:$AB$37,MATCH(P388,【参考】数式用!$B$4:$AB$4,0)+1,0),"")</f>
        <v/>
      </c>
      <c r="S388" s="1381" t="s">
        <v>2109</v>
      </c>
      <c r="T388" s="1510"/>
      <c r="U388" s="1506" t="str">
        <f>IFERROR(VLOOKUP(K386,【参考】数式用!$A$5:$AB$37,MATCH(T388,【参考】数式用!$B$4:$AB$4,0)+1,0),"")</f>
        <v/>
      </c>
      <c r="V388" s="1387" t="s">
        <v>15</v>
      </c>
      <c r="W388" s="1504"/>
      <c r="X388" s="1363" t="s">
        <v>10</v>
      </c>
      <c r="Y388" s="1504"/>
      <c r="Z388" s="1363" t="s">
        <v>38</v>
      </c>
      <c r="AA388" s="1504"/>
      <c r="AB388" s="1363" t="s">
        <v>10</v>
      </c>
      <c r="AC388" s="1504"/>
      <c r="AD388" s="1363" t="s">
        <v>2020</v>
      </c>
      <c r="AE388" s="1363" t="s">
        <v>20</v>
      </c>
      <c r="AF388" s="1363" t="str">
        <f>IF(W388&gt;=1,(AA388*12+AC388)-(W388*12+Y388)+1,"")</f>
        <v/>
      </c>
      <c r="AG388" s="1359" t="s">
        <v>33</v>
      </c>
      <c r="AH388" s="1365" t="str">
        <f t="shared" ref="AH388" si="646">IFERROR(ROUNDDOWN(ROUND(L386*U388,0),0)*AF388,"")</f>
        <v/>
      </c>
      <c r="AI388" s="1498" t="str">
        <f t="shared" ref="AI388" si="647">IFERROR(ROUNDDOWN(ROUND((L386*(U388-AW386)),0),0)*AF388,"")</f>
        <v/>
      </c>
      <c r="AJ388" s="1369" t="str">
        <f>IFERROR(ROUNDDOWN(ROUNDDOWN(ROUND(L386*VLOOKUP(K386,【参考】数式用!$A$5:$AB$27,MATCH("新加算Ⅳ",【参考】数式用!$B$4:$AB$4,0)+1,0),0),0)*AF388*0.5,0),"")</f>
        <v/>
      </c>
      <c r="AK388" s="1500"/>
      <c r="AL388" s="1502" t="str">
        <f>IFERROR(IF('別紙様式2-2（４・５月分）'!P388="ベア加算","", IF(OR(T388="新加算Ⅰ",T388="新加算Ⅱ",T388="新加算Ⅲ",T388="新加算Ⅳ"),ROUNDDOWN(ROUND(L386*VLOOKUP(K386,【参考】数式用!$A$5:$I$27,MATCH("ベア加算",【参考】数式用!$B$4:$I$4,0)+1,0),0),0)*AF388,"")),"")</f>
        <v/>
      </c>
      <c r="AM388" s="1494"/>
      <c r="AN388" s="1475"/>
      <c r="AO388" s="1496"/>
      <c r="AP388" s="1475"/>
      <c r="AQ388" s="1477"/>
      <c r="AR388" s="1479"/>
      <c r="AS388" s="1483"/>
      <c r="AT388" s="451"/>
      <c r="AU388" s="1303" t="str">
        <f>IF(AND(AA386&lt;&gt;7,AC386&lt;&gt;3),"V列に色付け","")</f>
        <v/>
      </c>
      <c r="AV388" s="1304"/>
      <c r="AW388" s="1305"/>
      <c r="AX388" s="574"/>
      <c r="AY388" s="1222" t="str">
        <f>IF(AL388&lt;&gt;"",IF(AM388="○","入力済","未入力"),"")</f>
        <v/>
      </c>
      <c r="AZ388" s="1222"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2" t="str">
        <f>IF(OR(T388="新加算Ⅴ（７）",T388="新加算Ⅴ（９）",T388="新加算Ⅴ（10）",T388="新加算Ⅴ（12）",T388="新加算Ⅴ（13）",T388="新加算Ⅴ（14）"),IF(OR(AO388="○",AO388="令和６年度中に満たす"),"入力済","未入力"),"")</f>
        <v/>
      </c>
      <c r="BB388" s="1222" t="str">
        <f>IF(OR(T388="新加算Ⅰ",T388="新加算Ⅱ",T388="新加算Ⅲ",T388="新加算Ⅴ（１）",T388="新加算Ⅴ（３）",T388="新加算Ⅴ（８）"),IF(OR(AP388="○",AP388="令和６年度中に満たす"),"入力済","未入力"),"")</f>
        <v/>
      </c>
      <c r="BC388" s="1472"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03" t="str">
        <f>IF(OR(T388="新加算Ⅰ",T388="新加算Ⅴ（１）",T388="新加算Ⅴ（２）",T388="新加算Ⅴ（５）",T388="新加算Ⅴ（７）",T388="新加算Ⅴ（10）"),IF(AR388="","未入力","入力済"),"")</f>
        <v/>
      </c>
      <c r="BE388" s="1303" t="str">
        <f>G386</f>
        <v/>
      </c>
      <c r="BF388" s="1303"/>
      <c r="BG388" s="1303"/>
    </row>
    <row r="389" spans="1:59" ht="30" customHeight="1" thickBot="1">
      <c r="A389" s="1268"/>
      <c r="B389" s="1411"/>
      <c r="C389" s="1412"/>
      <c r="D389" s="1412"/>
      <c r="E389" s="1412"/>
      <c r="F389" s="1413"/>
      <c r="G389" s="1253"/>
      <c r="H389" s="1253"/>
      <c r="I389" s="1253"/>
      <c r="J389" s="1416"/>
      <c r="K389" s="1253"/>
      <c r="L389" s="1422"/>
      <c r="M389" s="553" t="str">
        <f>IF('別紙様式2-2（４・５月分）'!P295="","",'別紙様式2-2（４・５月分）'!P295)</f>
        <v/>
      </c>
      <c r="N389" s="1394"/>
      <c r="O389" s="1374"/>
      <c r="P389" s="1426"/>
      <c r="Q389" s="1378"/>
      <c r="R389" s="1509"/>
      <c r="S389" s="1382"/>
      <c r="T389" s="1511"/>
      <c r="U389" s="1507"/>
      <c r="V389" s="1388"/>
      <c r="W389" s="1505"/>
      <c r="X389" s="1364"/>
      <c r="Y389" s="1505"/>
      <c r="Z389" s="1364"/>
      <c r="AA389" s="1505"/>
      <c r="AB389" s="1364"/>
      <c r="AC389" s="1505"/>
      <c r="AD389" s="1364"/>
      <c r="AE389" s="1364"/>
      <c r="AF389" s="1364"/>
      <c r="AG389" s="1360"/>
      <c r="AH389" s="1366"/>
      <c r="AI389" s="1499"/>
      <c r="AJ389" s="1370"/>
      <c r="AK389" s="1501"/>
      <c r="AL389" s="1503"/>
      <c r="AM389" s="1495"/>
      <c r="AN389" s="1476"/>
      <c r="AO389" s="1497"/>
      <c r="AP389" s="1476"/>
      <c r="AQ389" s="1478"/>
      <c r="AR389" s="1480"/>
      <c r="AS389" s="575"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1"/>
      <c r="AU389" s="1303"/>
      <c r="AV389" s="555" t="str">
        <f>IF('別紙様式2-2（４・５月分）'!N295="","",'別紙様式2-2（４・５月分）'!N295)</f>
        <v/>
      </c>
      <c r="AW389" s="1305"/>
      <c r="AX389" s="576"/>
      <c r="AY389" s="1222" t="str">
        <f>IF(OR(T389="新加算Ⅰ",T389="新加算Ⅱ",T389="新加算Ⅲ",T389="新加算Ⅳ",T389="新加算Ⅴ（１）",T389="新加算Ⅴ（２）",T389="新加算Ⅴ（３）",T389="新加算ⅠⅤ（４）",T389="新加算Ⅴ（５）",T389="新加算Ⅴ（６）",T389="新加算Ⅴ（８）",T389="新加算Ⅴ（11）"),IF(AI389="○","","未入力"),"")</f>
        <v/>
      </c>
      <c r="AZ389" s="1222" t="str">
        <f>IF(OR(U389="新加算Ⅰ",U389="新加算Ⅱ",U389="新加算Ⅲ",U389="新加算Ⅳ",U389="新加算Ⅴ（１）",U389="新加算Ⅴ（２）",U389="新加算Ⅴ（３）",U389="新加算ⅠⅤ（４）",U389="新加算Ⅴ（５）",U389="新加算Ⅴ（６）",U389="新加算Ⅴ（８）",U389="新加算Ⅴ（11）"),IF(AJ389="○","","未入力"),"")</f>
        <v/>
      </c>
      <c r="BA389" s="1222" t="str">
        <f>IF(OR(U389="新加算Ⅴ（７）",U389="新加算Ⅴ（９）",U389="新加算Ⅴ（10）",U389="新加算Ⅴ（12）",U389="新加算Ⅴ（13）",U389="新加算Ⅴ（14）"),IF(AK389="○","","未入力"),"")</f>
        <v/>
      </c>
      <c r="BB389" s="1222" t="str">
        <f>IF(OR(U389="新加算Ⅰ",U389="新加算Ⅱ",U389="新加算Ⅲ",U389="新加算Ⅴ（１）",U389="新加算Ⅴ（３）",U389="新加算Ⅴ（８）"),IF(AL389="○","","未入力"),"")</f>
        <v/>
      </c>
      <c r="BC389" s="1472"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03" t="str">
        <f>IF(AND(T389&lt;&gt;"（参考）令和７年度の移行予定",OR(U389="新加算Ⅰ",U389="新加算Ⅴ（１）",U389="新加算Ⅴ（２）",U389="新加算Ⅴ（５）",U389="新加算Ⅴ（７）",U389="新加算Ⅴ（10）")),IF(AN389="","未入力",IF(AN389="いずれも取得していない","要件を満たさない","")),"")</f>
        <v/>
      </c>
      <c r="BE389" s="1303" t="str">
        <f>G386</f>
        <v/>
      </c>
      <c r="BF389" s="1303"/>
      <c r="BG389" s="1303"/>
    </row>
    <row r="390" spans="1:59" ht="30" customHeight="1">
      <c r="A390" s="1266">
        <v>95</v>
      </c>
      <c r="B390" s="1235" t="str">
        <f>IF(基本情報入力シート!C148="","",基本情報入力シート!C148)</f>
        <v/>
      </c>
      <c r="C390" s="1236"/>
      <c r="D390" s="1236"/>
      <c r="E390" s="1236"/>
      <c r="F390" s="1237"/>
      <c r="G390" s="1252" t="str">
        <f>IF(基本情報入力シート!M148="","",基本情報入力シート!M148)</f>
        <v/>
      </c>
      <c r="H390" s="1252" t="str">
        <f>IF(基本情報入力シート!R148="","",基本情報入力シート!R148)</f>
        <v/>
      </c>
      <c r="I390" s="1252" t="str">
        <f>IF(基本情報入力シート!W148="","",基本情報入力シート!W148)</f>
        <v/>
      </c>
      <c r="J390" s="1415" t="str">
        <f>IF(基本情報入力シート!X148="","",基本情報入力シート!X148)</f>
        <v/>
      </c>
      <c r="K390" s="1252" t="str">
        <f>IF(基本情報入力シート!Y148="","",基本情報入力シート!Y148)</f>
        <v/>
      </c>
      <c r="L390" s="1421" t="str">
        <f>IF(基本情報入力シート!AB148="","",基本情報入力シート!AB148)</f>
        <v/>
      </c>
      <c r="M390" s="550" t="str">
        <f>IF('別紙様式2-2（４・５月分）'!P296="","",'別紙様式2-2（４・５月分）'!P296)</f>
        <v/>
      </c>
      <c r="N390" s="1391" t="str">
        <f>IF(SUM('別紙様式2-2（４・５月分）'!Q296:Q298)=0,"",SUM('別紙様式2-2（４・５月分）'!Q296:Q298))</f>
        <v/>
      </c>
      <c r="O390" s="1395" t="str">
        <f>IFERROR(VLOOKUP('別紙様式2-2（４・５月分）'!AQ296,【参考】数式用!$AR$5:$AS$22,2,FALSE),"")</f>
        <v/>
      </c>
      <c r="P390" s="1396"/>
      <c r="Q390" s="1397"/>
      <c r="R390" s="1531" t="str">
        <f>IFERROR(VLOOKUP(K390,【参考】数式用!$A$5:$AB$37,MATCH(O390,【参考】数式用!$B$4:$AB$4,0)+1,0),"")</f>
        <v/>
      </c>
      <c r="S390" s="1403" t="s">
        <v>2102</v>
      </c>
      <c r="T390" s="1527" t="str">
        <f>IF('別紙様式2-3（６月以降分）'!T390="","",'別紙様式2-3（６月以降分）'!T390)</f>
        <v/>
      </c>
      <c r="U390" s="1529" t="str">
        <f>IFERROR(VLOOKUP(K390,【参考】数式用!$A$5:$AB$37,MATCH(T390,【参考】数式用!$B$4:$AB$4,0)+1,0),"")</f>
        <v/>
      </c>
      <c r="V390" s="1409" t="s">
        <v>15</v>
      </c>
      <c r="W390" s="1525">
        <f>'別紙様式2-3（６月以降分）'!W390</f>
        <v>6</v>
      </c>
      <c r="X390" s="1349" t="s">
        <v>10</v>
      </c>
      <c r="Y390" s="1525">
        <f>'別紙様式2-3（６月以降分）'!Y390</f>
        <v>6</v>
      </c>
      <c r="Z390" s="1349" t="s">
        <v>38</v>
      </c>
      <c r="AA390" s="1525">
        <f>'別紙様式2-3（６月以降分）'!AA390</f>
        <v>7</v>
      </c>
      <c r="AB390" s="1349" t="s">
        <v>10</v>
      </c>
      <c r="AC390" s="1525">
        <f>'別紙様式2-3（６月以降分）'!AC390</f>
        <v>3</v>
      </c>
      <c r="AD390" s="1349" t="s">
        <v>2020</v>
      </c>
      <c r="AE390" s="1349" t="s">
        <v>20</v>
      </c>
      <c r="AF390" s="1349">
        <f>IF(W390&gt;=1,(AA390*12+AC390)-(W390*12+Y390)+1,"")</f>
        <v>10</v>
      </c>
      <c r="AG390" s="1351" t="s">
        <v>33</v>
      </c>
      <c r="AH390" s="1517" t="str">
        <f>'別紙様式2-3（６月以降分）'!AH390</f>
        <v/>
      </c>
      <c r="AI390" s="1519" t="str">
        <f>'別紙様式2-3（６月以降分）'!AI390</f>
        <v/>
      </c>
      <c r="AJ390" s="1521">
        <f>'別紙様式2-3（６月以降分）'!AJ390</f>
        <v>0</v>
      </c>
      <c r="AK390" s="1523" t="str">
        <f>IF('別紙様式2-3（６月以降分）'!AK390="","",'別紙様式2-3（６月以降分）'!AK390)</f>
        <v/>
      </c>
      <c r="AL390" s="1512">
        <f>'別紙様式2-3（６月以降分）'!AL390</f>
        <v>0</v>
      </c>
      <c r="AM390" s="1514" t="str">
        <f>IF('別紙様式2-3（６月以降分）'!AM390="","",'別紙様式2-3（６月以降分）'!AM390)</f>
        <v/>
      </c>
      <c r="AN390" s="1333" t="str">
        <f>IF('別紙様式2-3（６月以降分）'!AN390="","",'別紙様式2-3（６月以降分）'!AN390)</f>
        <v/>
      </c>
      <c r="AO390" s="1331" t="str">
        <f>IF('別紙様式2-3（６月以降分）'!AO390="","",'別紙様式2-3（６月以降分）'!AO390)</f>
        <v/>
      </c>
      <c r="AP390" s="1333" t="str">
        <f>IF('別紙様式2-3（６月以降分）'!AP390="","",'別紙様式2-3（６月以降分）'!AP390)</f>
        <v/>
      </c>
      <c r="AQ390" s="1481" t="str">
        <f>IF('別紙様式2-3（６月以降分）'!AQ390="","",'別紙様式2-3（６月以降分）'!AQ390)</f>
        <v/>
      </c>
      <c r="AR390" s="1484" t="str">
        <f>IF('別紙様式2-3（６月以降分）'!AR390="","",'別紙様式2-3（６月以降分）'!AR390)</f>
        <v/>
      </c>
      <c r="AS390" s="570" t="str">
        <f t="shared" ref="AS390" si="651">IF(AU392="","",IF(U392&lt;U390,"！加算の要件上は問題ありませんが、令和６年度当初の新加算の加算率と比較して、移行後の加算率が下がる計画になっています。",""))</f>
        <v/>
      </c>
      <c r="AT390" s="577"/>
      <c r="AU390" s="1301"/>
      <c r="AV390" s="555" t="str">
        <f>IF('別紙様式2-2（４・５月分）'!N296="","",'別紙様式2-2（４・５月分）'!N296)</f>
        <v/>
      </c>
      <c r="AW390" s="1305" t="str">
        <f>IF(SUM('別紙様式2-2（４・５月分）'!O296:O298)=0,"",SUM('別紙様式2-2（４・５月分）'!O296:O298))</f>
        <v/>
      </c>
      <c r="AX390" s="1473" t="str">
        <f>IFERROR(VLOOKUP(K390,【参考】数式用!$AH$2:$AI$34,2,FALSE),"")</f>
        <v/>
      </c>
      <c r="AY390" s="493"/>
      <c r="BD390" s="340"/>
      <c r="BE390" s="1303" t="str">
        <f>G390</f>
        <v/>
      </c>
      <c r="BF390" s="1303"/>
      <c r="BG390" s="1303"/>
    </row>
    <row r="391" spans="1:59" ht="15" customHeight="1">
      <c r="A391" s="1267"/>
      <c r="B391" s="1235"/>
      <c r="C391" s="1236"/>
      <c r="D391" s="1236"/>
      <c r="E391" s="1236"/>
      <c r="F391" s="1237"/>
      <c r="G391" s="1252"/>
      <c r="H391" s="1252"/>
      <c r="I391" s="1252"/>
      <c r="J391" s="1415"/>
      <c r="K391" s="1252"/>
      <c r="L391" s="1421"/>
      <c r="M391" s="1371" t="str">
        <f>IF('別紙様式2-2（４・５月分）'!P297="","",'別紙様式2-2（４・５月分）'!P297)</f>
        <v/>
      </c>
      <c r="N391" s="1392"/>
      <c r="O391" s="1398"/>
      <c r="P391" s="1399"/>
      <c r="Q391" s="1400"/>
      <c r="R391" s="1532"/>
      <c r="S391" s="1404"/>
      <c r="T391" s="1528"/>
      <c r="U391" s="1530"/>
      <c r="V391" s="1410"/>
      <c r="W391" s="1526"/>
      <c r="X391" s="1350"/>
      <c r="Y391" s="1526"/>
      <c r="Z391" s="1350"/>
      <c r="AA391" s="1526"/>
      <c r="AB391" s="1350"/>
      <c r="AC391" s="1526"/>
      <c r="AD391" s="1350"/>
      <c r="AE391" s="1350"/>
      <c r="AF391" s="1350"/>
      <c r="AG391" s="1352"/>
      <c r="AH391" s="1518"/>
      <c r="AI391" s="1520"/>
      <c r="AJ391" s="1522"/>
      <c r="AK391" s="1524"/>
      <c r="AL391" s="1513"/>
      <c r="AM391" s="1515"/>
      <c r="AN391" s="1334"/>
      <c r="AO391" s="1516"/>
      <c r="AP391" s="1334"/>
      <c r="AQ391" s="1482"/>
      <c r="AR391" s="1485"/>
      <c r="AS391" s="1483" t="str">
        <f t="shared" ref="AS391" si="652">IF(AU392="","",IF(OR(AA392="",AA392&lt;&gt;7,AC392="",AC392&lt;&gt;3),"！算定期間の終わりが令和７年３月になっていません。年度内の廃止予定等がなければ、算定対象月を令和７年３月にしてください。",""))</f>
        <v/>
      </c>
      <c r="AT391" s="577"/>
      <c r="AU391" s="1303"/>
      <c r="AV391" s="1304" t="str">
        <f>IF('別紙様式2-2（４・５月分）'!N297="","",'別紙様式2-2（４・５月分）'!N297)</f>
        <v/>
      </c>
      <c r="AW391" s="1305"/>
      <c r="AX391" s="1474"/>
      <c r="AY391" s="430"/>
      <c r="BD391" s="340"/>
      <c r="BE391" s="1303" t="str">
        <f>G390</f>
        <v/>
      </c>
      <c r="BF391" s="1303"/>
      <c r="BG391" s="1303"/>
    </row>
    <row r="392" spans="1:59" ht="15" customHeight="1">
      <c r="A392" s="1295"/>
      <c r="B392" s="1235"/>
      <c r="C392" s="1236"/>
      <c r="D392" s="1236"/>
      <c r="E392" s="1236"/>
      <c r="F392" s="1237"/>
      <c r="G392" s="1252"/>
      <c r="H392" s="1252"/>
      <c r="I392" s="1252"/>
      <c r="J392" s="1415"/>
      <c r="K392" s="1252"/>
      <c r="L392" s="1421"/>
      <c r="M392" s="1372"/>
      <c r="N392" s="1393"/>
      <c r="O392" s="1373" t="s">
        <v>2025</v>
      </c>
      <c r="P392" s="1425" t="str">
        <f>IFERROR(VLOOKUP('別紙様式2-2（４・５月分）'!AQ296,【参考】数式用!$AR$5:$AT$22,3,FALSE),"")</f>
        <v/>
      </c>
      <c r="Q392" s="1377" t="s">
        <v>2036</v>
      </c>
      <c r="R392" s="1508" t="str">
        <f>IFERROR(VLOOKUP(K390,【参考】数式用!$A$5:$AB$37,MATCH(P392,【参考】数式用!$B$4:$AB$4,0)+1,0),"")</f>
        <v/>
      </c>
      <c r="S392" s="1381" t="s">
        <v>2109</v>
      </c>
      <c r="T392" s="1510"/>
      <c r="U392" s="1506" t="str">
        <f>IFERROR(VLOOKUP(K390,【参考】数式用!$A$5:$AB$37,MATCH(T392,【参考】数式用!$B$4:$AB$4,0)+1,0),"")</f>
        <v/>
      </c>
      <c r="V392" s="1387" t="s">
        <v>15</v>
      </c>
      <c r="W392" s="1504"/>
      <c r="X392" s="1363" t="s">
        <v>10</v>
      </c>
      <c r="Y392" s="1504"/>
      <c r="Z392" s="1363" t="s">
        <v>38</v>
      </c>
      <c r="AA392" s="1504"/>
      <c r="AB392" s="1363" t="s">
        <v>10</v>
      </c>
      <c r="AC392" s="1504"/>
      <c r="AD392" s="1363" t="s">
        <v>2020</v>
      </c>
      <c r="AE392" s="1363" t="s">
        <v>20</v>
      </c>
      <c r="AF392" s="1363" t="str">
        <f>IF(W392&gt;=1,(AA392*12+AC392)-(W392*12+Y392)+1,"")</f>
        <v/>
      </c>
      <c r="AG392" s="1359" t="s">
        <v>33</v>
      </c>
      <c r="AH392" s="1365" t="str">
        <f t="shared" ref="AH392" si="653">IFERROR(ROUNDDOWN(ROUND(L390*U392,0),0)*AF392,"")</f>
        <v/>
      </c>
      <c r="AI392" s="1498" t="str">
        <f t="shared" ref="AI392" si="654">IFERROR(ROUNDDOWN(ROUND((L390*(U392-AW390)),0),0)*AF392,"")</f>
        <v/>
      </c>
      <c r="AJ392" s="1369" t="str">
        <f>IFERROR(ROUNDDOWN(ROUNDDOWN(ROUND(L390*VLOOKUP(K390,【参考】数式用!$A$5:$AB$27,MATCH("新加算Ⅳ",【参考】数式用!$B$4:$AB$4,0)+1,0),0),0)*AF392*0.5,0),"")</f>
        <v/>
      </c>
      <c r="AK392" s="1500"/>
      <c r="AL392" s="1502" t="str">
        <f>IFERROR(IF('別紙様式2-2（４・５月分）'!P392="ベア加算","", IF(OR(T392="新加算Ⅰ",T392="新加算Ⅱ",T392="新加算Ⅲ",T392="新加算Ⅳ"),ROUNDDOWN(ROUND(L390*VLOOKUP(K390,【参考】数式用!$A$5:$I$27,MATCH("ベア加算",【参考】数式用!$B$4:$I$4,0)+1,0),0),0)*AF392,"")),"")</f>
        <v/>
      </c>
      <c r="AM392" s="1494"/>
      <c r="AN392" s="1475"/>
      <c r="AO392" s="1496"/>
      <c r="AP392" s="1475"/>
      <c r="AQ392" s="1477"/>
      <c r="AR392" s="1479"/>
      <c r="AS392" s="1483"/>
      <c r="AT392" s="451"/>
      <c r="AU392" s="1303" t="str">
        <f>IF(AND(AA390&lt;&gt;7,AC390&lt;&gt;3),"V列に色付け","")</f>
        <v/>
      </c>
      <c r="AV392" s="1304"/>
      <c r="AW392" s="1305"/>
      <c r="AX392" s="574"/>
      <c r="AY392" s="1222" t="str">
        <f>IF(AL392&lt;&gt;"",IF(AM392="○","入力済","未入力"),"")</f>
        <v/>
      </c>
      <c r="AZ392" s="1222"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2" t="str">
        <f>IF(OR(T392="新加算Ⅴ（７）",T392="新加算Ⅴ（９）",T392="新加算Ⅴ（10）",T392="新加算Ⅴ（12）",T392="新加算Ⅴ（13）",T392="新加算Ⅴ（14）"),IF(OR(AO392="○",AO392="令和６年度中に満たす"),"入力済","未入力"),"")</f>
        <v/>
      </c>
      <c r="BB392" s="1222" t="str">
        <f>IF(OR(T392="新加算Ⅰ",T392="新加算Ⅱ",T392="新加算Ⅲ",T392="新加算Ⅴ（１）",T392="新加算Ⅴ（３）",T392="新加算Ⅴ（８）"),IF(OR(AP392="○",AP392="令和６年度中に満たす"),"入力済","未入力"),"")</f>
        <v/>
      </c>
      <c r="BC392" s="1472"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03" t="str">
        <f>IF(OR(T392="新加算Ⅰ",T392="新加算Ⅴ（１）",T392="新加算Ⅴ（２）",T392="新加算Ⅴ（５）",T392="新加算Ⅴ（７）",T392="新加算Ⅴ（10）"),IF(AR392="","未入力","入力済"),"")</f>
        <v/>
      </c>
      <c r="BE392" s="1303" t="str">
        <f>G390</f>
        <v/>
      </c>
      <c r="BF392" s="1303"/>
      <c r="BG392" s="1303"/>
    </row>
    <row r="393" spans="1:59" ht="30" customHeight="1" thickBot="1">
      <c r="A393" s="1268"/>
      <c r="B393" s="1411"/>
      <c r="C393" s="1412"/>
      <c r="D393" s="1412"/>
      <c r="E393" s="1412"/>
      <c r="F393" s="1413"/>
      <c r="G393" s="1253"/>
      <c r="H393" s="1253"/>
      <c r="I393" s="1253"/>
      <c r="J393" s="1416"/>
      <c r="K393" s="1253"/>
      <c r="L393" s="1422"/>
      <c r="M393" s="553" t="str">
        <f>IF('別紙様式2-2（４・５月分）'!P298="","",'別紙様式2-2（４・５月分）'!P298)</f>
        <v/>
      </c>
      <c r="N393" s="1394"/>
      <c r="O393" s="1374"/>
      <c r="P393" s="1426"/>
      <c r="Q393" s="1378"/>
      <c r="R393" s="1509"/>
      <c r="S393" s="1382"/>
      <c r="T393" s="1511"/>
      <c r="U393" s="1507"/>
      <c r="V393" s="1388"/>
      <c r="W393" s="1505"/>
      <c r="X393" s="1364"/>
      <c r="Y393" s="1505"/>
      <c r="Z393" s="1364"/>
      <c r="AA393" s="1505"/>
      <c r="AB393" s="1364"/>
      <c r="AC393" s="1505"/>
      <c r="AD393" s="1364"/>
      <c r="AE393" s="1364"/>
      <c r="AF393" s="1364"/>
      <c r="AG393" s="1360"/>
      <c r="AH393" s="1366"/>
      <c r="AI393" s="1499"/>
      <c r="AJ393" s="1370"/>
      <c r="AK393" s="1501"/>
      <c r="AL393" s="1503"/>
      <c r="AM393" s="1495"/>
      <c r="AN393" s="1476"/>
      <c r="AO393" s="1497"/>
      <c r="AP393" s="1476"/>
      <c r="AQ393" s="1478"/>
      <c r="AR393" s="1480"/>
      <c r="AS393" s="575"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1"/>
      <c r="AU393" s="1303"/>
      <c r="AV393" s="555" t="str">
        <f>IF('別紙様式2-2（４・５月分）'!N298="","",'別紙様式2-2（４・５月分）'!N298)</f>
        <v/>
      </c>
      <c r="AW393" s="1305"/>
      <c r="AX393" s="576"/>
      <c r="AY393" s="1222" t="str">
        <f>IF(OR(T393="新加算Ⅰ",T393="新加算Ⅱ",T393="新加算Ⅲ",T393="新加算Ⅳ",T393="新加算Ⅴ（１）",T393="新加算Ⅴ（２）",T393="新加算Ⅴ（３）",T393="新加算ⅠⅤ（４）",T393="新加算Ⅴ（５）",T393="新加算Ⅴ（６）",T393="新加算Ⅴ（８）",T393="新加算Ⅴ（11）"),IF(AI393="○","","未入力"),"")</f>
        <v/>
      </c>
      <c r="AZ393" s="1222" t="str">
        <f>IF(OR(U393="新加算Ⅰ",U393="新加算Ⅱ",U393="新加算Ⅲ",U393="新加算Ⅳ",U393="新加算Ⅴ（１）",U393="新加算Ⅴ（２）",U393="新加算Ⅴ（３）",U393="新加算ⅠⅤ（４）",U393="新加算Ⅴ（５）",U393="新加算Ⅴ（６）",U393="新加算Ⅴ（８）",U393="新加算Ⅴ（11）"),IF(AJ393="○","","未入力"),"")</f>
        <v/>
      </c>
      <c r="BA393" s="1222" t="str">
        <f>IF(OR(U393="新加算Ⅴ（７）",U393="新加算Ⅴ（９）",U393="新加算Ⅴ（10）",U393="新加算Ⅴ（12）",U393="新加算Ⅴ（13）",U393="新加算Ⅴ（14）"),IF(AK393="○","","未入力"),"")</f>
        <v/>
      </c>
      <c r="BB393" s="1222" t="str">
        <f>IF(OR(U393="新加算Ⅰ",U393="新加算Ⅱ",U393="新加算Ⅲ",U393="新加算Ⅴ（１）",U393="新加算Ⅴ（３）",U393="新加算Ⅴ（８）"),IF(AL393="○","","未入力"),"")</f>
        <v/>
      </c>
      <c r="BC393" s="1472"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03" t="str">
        <f>IF(AND(T393&lt;&gt;"（参考）令和７年度の移行予定",OR(U393="新加算Ⅰ",U393="新加算Ⅴ（１）",U393="新加算Ⅴ（２）",U393="新加算Ⅴ（５）",U393="新加算Ⅴ（７）",U393="新加算Ⅴ（10）")),IF(AN393="","未入力",IF(AN393="いずれも取得していない","要件を満たさない","")),"")</f>
        <v/>
      </c>
      <c r="BE393" s="1303" t="str">
        <f>G390</f>
        <v/>
      </c>
      <c r="BF393" s="1303"/>
      <c r="BG393" s="1303"/>
    </row>
    <row r="394" spans="1:59" ht="30" customHeight="1">
      <c r="A394" s="1293">
        <v>96</v>
      </c>
      <c r="B394" s="1232" t="str">
        <f>IF(基本情報入力シート!C149="","",基本情報入力シート!C149)</f>
        <v/>
      </c>
      <c r="C394" s="1233"/>
      <c r="D394" s="1233"/>
      <c r="E394" s="1233"/>
      <c r="F394" s="1234"/>
      <c r="G394" s="1251" t="str">
        <f>IF(基本情報入力シート!M149="","",基本情報入力シート!M149)</f>
        <v/>
      </c>
      <c r="H394" s="1251" t="str">
        <f>IF(基本情報入力シート!R149="","",基本情報入力シート!R149)</f>
        <v/>
      </c>
      <c r="I394" s="1251" t="str">
        <f>IF(基本情報入力シート!W149="","",基本情報入力シート!W149)</f>
        <v/>
      </c>
      <c r="J394" s="1414" t="str">
        <f>IF(基本情報入力シート!X149="","",基本情報入力シート!X149)</f>
        <v/>
      </c>
      <c r="K394" s="1251" t="str">
        <f>IF(基本情報入力シート!Y149="","",基本情報入力シート!Y149)</f>
        <v/>
      </c>
      <c r="L394" s="1427" t="str">
        <f>IF(基本情報入力シート!AB149="","",基本情報入力シート!AB149)</f>
        <v/>
      </c>
      <c r="M394" s="550" t="str">
        <f>IF('別紙様式2-2（４・５月分）'!P299="","",'別紙様式2-2（４・５月分）'!P299)</f>
        <v/>
      </c>
      <c r="N394" s="1391" t="str">
        <f>IF(SUM('別紙様式2-2（４・５月分）'!Q299:Q301)=0,"",SUM('別紙様式2-2（４・５月分）'!Q299:Q301))</f>
        <v/>
      </c>
      <c r="O394" s="1395" t="str">
        <f>IFERROR(VLOOKUP('別紙様式2-2（４・５月分）'!AQ299,【参考】数式用!$AR$5:$AS$22,2,FALSE),"")</f>
        <v/>
      </c>
      <c r="P394" s="1396"/>
      <c r="Q394" s="1397"/>
      <c r="R394" s="1531" t="str">
        <f>IFERROR(VLOOKUP(K394,【参考】数式用!$A$5:$AB$37,MATCH(O394,【参考】数式用!$B$4:$AB$4,0)+1,0),"")</f>
        <v/>
      </c>
      <c r="S394" s="1403" t="s">
        <v>2102</v>
      </c>
      <c r="T394" s="1527" t="str">
        <f>IF('別紙様式2-3（６月以降分）'!T394="","",'別紙様式2-3（６月以降分）'!T394)</f>
        <v/>
      </c>
      <c r="U394" s="1529" t="str">
        <f>IFERROR(VLOOKUP(K394,【参考】数式用!$A$5:$AB$37,MATCH(T394,【参考】数式用!$B$4:$AB$4,0)+1,0),"")</f>
        <v/>
      </c>
      <c r="V394" s="1409" t="s">
        <v>15</v>
      </c>
      <c r="W394" s="1525">
        <f>'別紙様式2-3（６月以降分）'!W394</f>
        <v>6</v>
      </c>
      <c r="X394" s="1349" t="s">
        <v>10</v>
      </c>
      <c r="Y394" s="1525">
        <f>'別紙様式2-3（６月以降分）'!Y394</f>
        <v>6</v>
      </c>
      <c r="Z394" s="1349" t="s">
        <v>38</v>
      </c>
      <c r="AA394" s="1525">
        <f>'別紙様式2-3（６月以降分）'!AA394</f>
        <v>7</v>
      </c>
      <c r="AB394" s="1349" t="s">
        <v>10</v>
      </c>
      <c r="AC394" s="1525">
        <f>'別紙様式2-3（６月以降分）'!AC394</f>
        <v>3</v>
      </c>
      <c r="AD394" s="1349" t="s">
        <v>2020</v>
      </c>
      <c r="AE394" s="1349" t="s">
        <v>20</v>
      </c>
      <c r="AF394" s="1349">
        <f>IF(W394&gt;=1,(AA394*12+AC394)-(W394*12+Y394)+1,"")</f>
        <v>10</v>
      </c>
      <c r="AG394" s="1351" t="s">
        <v>33</v>
      </c>
      <c r="AH394" s="1517" t="str">
        <f>'別紙様式2-3（６月以降分）'!AH394</f>
        <v/>
      </c>
      <c r="AI394" s="1519" t="str">
        <f>'別紙様式2-3（６月以降分）'!AI394</f>
        <v/>
      </c>
      <c r="AJ394" s="1521">
        <f>'別紙様式2-3（６月以降分）'!AJ394</f>
        <v>0</v>
      </c>
      <c r="AK394" s="1523" t="str">
        <f>IF('別紙様式2-3（６月以降分）'!AK394="","",'別紙様式2-3（６月以降分）'!AK394)</f>
        <v/>
      </c>
      <c r="AL394" s="1512">
        <f>'別紙様式2-3（６月以降分）'!AL394</f>
        <v>0</v>
      </c>
      <c r="AM394" s="1514" t="str">
        <f>IF('別紙様式2-3（６月以降分）'!AM394="","",'別紙様式2-3（６月以降分）'!AM394)</f>
        <v/>
      </c>
      <c r="AN394" s="1333" t="str">
        <f>IF('別紙様式2-3（６月以降分）'!AN394="","",'別紙様式2-3（６月以降分）'!AN394)</f>
        <v/>
      </c>
      <c r="AO394" s="1331" t="str">
        <f>IF('別紙様式2-3（６月以降分）'!AO394="","",'別紙様式2-3（６月以降分）'!AO394)</f>
        <v/>
      </c>
      <c r="AP394" s="1333" t="str">
        <f>IF('別紙様式2-3（６月以降分）'!AP394="","",'別紙様式2-3（６月以降分）'!AP394)</f>
        <v/>
      </c>
      <c r="AQ394" s="1481" t="str">
        <f>IF('別紙様式2-3（６月以降分）'!AQ394="","",'別紙様式2-3（６月以降分）'!AQ394)</f>
        <v/>
      </c>
      <c r="AR394" s="1484" t="str">
        <f>IF('別紙様式2-3（６月以降分）'!AR394="","",'別紙様式2-3（６月以降分）'!AR394)</f>
        <v/>
      </c>
      <c r="AS394" s="570" t="str">
        <f t="shared" ref="AS394" si="658">IF(AU396="","",IF(U396&lt;U394,"！加算の要件上は問題ありませんが、令和６年度当初の新加算の加算率と比較して、移行後の加算率が下がる計画になっています。",""))</f>
        <v/>
      </c>
      <c r="AT394" s="577"/>
      <c r="AU394" s="1301"/>
      <c r="AV394" s="555" t="str">
        <f>IF('別紙様式2-2（４・５月分）'!N299="","",'別紙様式2-2（４・５月分）'!N299)</f>
        <v/>
      </c>
      <c r="AW394" s="1305" t="str">
        <f>IF(SUM('別紙様式2-2（４・５月分）'!O299:O301)=0,"",SUM('別紙様式2-2（４・５月分）'!O299:O301))</f>
        <v/>
      </c>
      <c r="AX394" s="1473" t="str">
        <f>IFERROR(VLOOKUP(K394,【参考】数式用!$AH$2:$AI$34,2,FALSE),"")</f>
        <v/>
      </c>
      <c r="AY394" s="493"/>
      <c r="BD394" s="340"/>
      <c r="BE394" s="1303" t="str">
        <f>G394</f>
        <v/>
      </c>
      <c r="BF394" s="1303"/>
      <c r="BG394" s="1303"/>
    </row>
    <row r="395" spans="1:59" ht="15" customHeight="1">
      <c r="A395" s="1267"/>
      <c r="B395" s="1235"/>
      <c r="C395" s="1236"/>
      <c r="D395" s="1236"/>
      <c r="E395" s="1236"/>
      <c r="F395" s="1237"/>
      <c r="G395" s="1252"/>
      <c r="H395" s="1252"/>
      <c r="I395" s="1252"/>
      <c r="J395" s="1415"/>
      <c r="K395" s="1252"/>
      <c r="L395" s="1421"/>
      <c r="M395" s="1371" t="str">
        <f>IF('別紙様式2-2（４・５月分）'!P300="","",'別紙様式2-2（４・５月分）'!P300)</f>
        <v/>
      </c>
      <c r="N395" s="1392"/>
      <c r="O395" s="1398"/>
      <c r="P395" s="1399"/>
      <c r="Q395" s="1400"/>
      <c r="R395" s="1532"/>
      <c r="S395" s="1404"/>
      <c r="T395" s="1528"/>
      <c r="U395" s="1530"/>
      <c r="V395" s="1410"/>
      <c r="W395" s="1526"/>
      <c r="X395" s="1350"/>
      <c r="Y395" s="1526"/>
      <c r="Z395" s="1350"/>
      <c r="AA395" s="1526"/>
      <c r="AB395" s="1350"/>
      <c r="AC395" s="1526"/>
      <c r="AD395" s="1350"/>
      <c r="AE395" s="1350"/>
      <c r="AF395" s="1350"/>
      <c r="AG395" s="1352"/>
      <c r="AH395" s="1518"/>
      <c r="AI395" s="1520"/>
      <c r="AJ395" s="1522"/>
      <c r="AK395" s="1524"/>
      <c r="AL395" s="1513"/>
      <c r="AM395" s="1515"/>
      <c r="AN395" s="1334"/>
      <c r="AO395" s="1516"/>
      <c r="AP395" s="1334"/>
      <c r="AQ395" s="1482"/>
      <c r="AR395" s="1485"/>
      <c r="AS395" s="1483" t="str">
        <f t="shared" ref="AS395" si="659">IF(AU396="","",IF(OR(AA396="",AA396&lt;&gt;7,AC396="",AC396&lt;&gt;3),"！算定期間の終わりが令和７年３月になっていません。年度内の廃止予定等がなければ、算定対象月を令和７年３月にしてください。",""))</f>
        <v/>
      </c>
      <c r="AT395" s="577"/>
      <c r="AU395" s="1303"/>
      <c r="AV395" s="1304" t="str">
        <f>IF('別紙様式2-2（４・５月分）'!N300="","",'別紙様式2-2（４・５月分）'!N300)</f>
        <v/>
      </c>
      <c r="AW395" s="1305"/>
      <c r="AX395" s="1474"/>
      <c r="AY395" s="430"/>
      <c r="BD395" s="340"/>
      <c r="BE395" s="1303" t="str">
        <f>G394</f>
        <v/>
      </c>
      <c r="BF395" s="1303"/>
      <c r="BG395" s="1303"/>
    </row>
    <row r="396" spans="1:59" ht="15" customHeight="1">
      <c r="A396" s="1295"/>
      <c r="B396" s="1235"/>
      <c r="C396" s="1236"/>
      <c r="D396" s="1236"/>
      <c r="E396" s="1236"/>
      <c r="F396" s="1237"/>
      <c r="G396" s="1252"/>
      <c r="H396" s="1252"/>
      <c r="I396" s="1252"/>
      <c r="J396" s="1415"/>
      <c r="K396" s="1252"/>
      <c r="L396" s="1421"/>
      <c r="M396" s="1372"/>
      <c r="N396" s="1393"/>
      <c r="O396" s="1373" t="s">
        <v>2025</v>
      </c>
      <c r="P396" s="1425" t="str">
        <f>IFERROR(VLOOKUP('別紙様式2-2（４・５月分）'!AQ299,【参考】数式用!$AR$5:$AT$22,3,FALSE),"")</f>
        <v/>
      </c>
      <c r="Q396" s="1377" t="s">
        <v>2036</v>
      </c>
      <c r="R396" s="1508" t="str">
        <f>IFERROR(VLOOKUP(K394,【参考】数式用!$A$5:$AB$37,MATCH(P396,【参考】数式用!$B$4:$AB$4,0)+1,0),"")</f>
        <v/>
      </c>
      <c r="S396" s="1381" t="s">
        <v>2109</v>
      </c>
      <c r="T396" s="1510"/>
      <c r="U396" s="1506" t="str">
        <f>IFERROR(VLOOKUP(K394,【参考】数式用!$A$5:$AB$37,MATCH(T396,【参考】数式用!$B$4:$AB$4,0)+1,0),"")</f>
        <v/>
      </c>
      <c r="V396" s="1387" t="s">
        <v>15</v>
      </c>
      <c r="W396" s="1504"/>
      <c r="X396" s="1363" t="s">
        <v>10</v>
      </c>
      <c r="Y396" s="1504"/>
      <c r="Z396" s="1363" t="s">
        <v>38</v>
      </c>
      <c r="AA396" s="1504"/>
      <c r="AB396" s="1363" t="s">
        <v>10</v>
      </c>
      <c r="AC396" s="1504"/>
      <c r="AD396" s="1363" t="s">
        <v>2020</v>
      </c>
      <c r="AE396" s="1363" t="s">
        <v>20</v>
      </c>
      <c r="AF396" s="1363" t="str">
        <f>IF(W396&gt;=1,(AA396*12+AC396)-(W396*12+Y396)+1,"")</f>
        <v/>
      </c>
      <c r="AG396" s="1359" t="s">
        <v>33</v>
      </c>
      <c r="AH396" s="1365" t="str">
        <f t="shared" ref="AH396" si="660">IFERROR(ROUNDDOWN(ROUND(L394*U396,0),0)*AF396,"")</f>
        <v/>
      </c>
      <c r="AI396" s="1498" t="str">
        <f t="shared" ref="AI396" si="661">IFERROR(ROUNDDOWN(ROUND((L394*(U396-AW394)),0),0)*AF396,"")</f>
        <v/>
      </c>
      <c r="AJ396" s="1369" t="str">
        <f>IFERROR(ROUNDDOWN(ROUNDDOWN(ROUND(L394*VLOOKUP(K394,【参考】数式用!$A$5:$AB$27,MATCH("新加算Ⅳ",【参考】数式用!$B$4:$AB$4,0)+1,0),0),0)*AF396*0.5,0),"")</f>
        <v/>
      </c>
      <c r="AK396" s="1500"/>
      <c r="AL396" s="1502" t="str">
        <f>IFERROR(IF('別紙様式2-2（４・５月分）'!P396="ベア加算","", IF(OR(T396="新加算Ⅰ",T396="新加算Ⅱ",T396="新加算Ⅲ",T396="新加算Ⅳ"),ROUNDDOWN(ROUND(L394*VLOOKUP(K394,【参考】数式用!$A$5:$I$27,MATCH("ベア加算",【参考】数式用!$B$4:$I$4,0)+1,0),0),0)*AF396,"")),"")</f>
        <v/>
      </c>
      <c r="AM396" s="1494"/>
      <c r="AN396" s="1475"/>
      <c r="AO396" s="1496"/>
      <c r="AP396" s="1475"/>
      <c r="AQ396" s="1477"/>
      <c r="AR396" s="1479"/>
      <c r="AS396" s="1483"/>
      <c r="AT396" s="451"/>
      <c r="AU396" s="1303" t="str">
        <f>IF(AND(AA394&lt;&gt;7,AC394&lt;&gt;3),"V列に色付け","")</f>
        <v/>
      </c>
      <c r="AV396" s="1304"/>
      <c r="AW396" s="1305"/>
      <c r="AX396" s="574"/>
      <c r="AY396" s="1222" t="str">
        <f>IF(AL396&lt;&gt;"",IF(AM396="○","入力済","未入力"),"")</f>
        <v/>
      </c>
      <c r="AZ396" s="1222"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2" t="str">
        <f>IF(OR(T396="新加算Ⅴ（７）",T396="新加算Ⅴ（９）",T396="新加算Ⅴ（10）",T396="新加算Ⅴ（12）",T396="新加算Ⅴ（13）",T396="新加算Ⅴ（14）"),IF(OR(AO396="○",AO396="令和６年度中に満たす"),"入力済","未入力"),"")</f>
        <v/>
      </c>
      <c r="BB396" s="1222" t="str">
        <f>IF(OR(T396="新加算Ⅰ",T396="新加算Ⅱ",T396="新加算Ⅲ",T396="新加算Ⅴ（１）",T396="新加算Ⅴ（３）",T396="新加算Ⅴ（８）"),IF(OR(AP396="○",AP396="令和６年度中に満たす"),"入力済","未入力"),"")</f>
        <v/>
      </c>
      <c r="BC396" s="1472"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03" t="str">
        <f>IF(OR(T396="新加算Ⅰ",T396="新加算Ⅴ（１）",T396="新加算Ⅴ（２）",T396="新加算Ⅴ（５）",T396="新加算Ⅴ（７）",T396="新加算Ⅴ（10）"),IF(AR396="","未入力","入力済"),"")</f>
        <v/>
      </c>
      <c r="BE396" s="1303" t="str">
        <f>G394</f>
        <v/>
      </c>
      <c r="BF396" s="1303"/>
      <c r="BG396" s="1303"/>
    </row>
    <row r="397" spans="1:59" ht="30" customHeight="1" thickBot="1">
      <c r="A397" s="1268"/>
      <c r="B397" s="1411"/>
      <c r="C397" s="1412"/>
      <c r="D397" s="1412"/>
      <c r="E397" s="1412"/>
      <c r="F397" s="1413"/>
      <c r="G397" s="1253"/>
      <c r="H397" s="1253"/>
      <c r="I397" s="1253"/>
      <c r="J397" s="1416"/>
      <c r="K397" s="1253"/>
      <c r="L397" s="1422"/>
      <c r="M397" s="553" t="str">
        <f>IF('別紙様式2-2（４・５月分）'!P301="","",'別紙様式2-2（４・５月分）'!P301)</f>
        <v/>
      </c>
      <c r="N397" s="1394"/>
      <c r="O397" s="1374"/>
      <c r="P397" s="1426"/>
      <c r="Q397" s="1378"/>
      <c r="R397" s="1509"/>
      <c r="S397" s="1382"/>
      <c r="T397" s="1511"/>
      <c r="U397" s="1507"/>
      <c r="V397" s="1388"/>
      <c r="W397" s="1505"/>
      <c r="X397" s="1364"/>
      <c r="Y397" s="1505"/>
      <c r="Z397" s="1364"/>
      <c r="AA397" s="1505"/>
      <c r="AB397" s="1364"/>
      <c r="AC397" s="1505"/>
      <c r="AD397" s="1364"/>
      <c r="AE397" s="1364"/>
      <c r="AF397" s="1364"/>
      <c r="AG397" s="1360"/>
      <c r="AH397" s="1366"/>
      <c r="AI397" s="1499"/>
      <c r="AJ397" s="1370"/>
      <c r="AK397" s="1501"/>
      <c r="AL397" s="1503"/>
      <c r="AM397" s="1495"/>
      <c r="AN397" s="1476"/>
      <c r="AO397" s="1497"/>
      <c r="AP397" s="1476"/>
      <c r="AQ397" s="1478"/>
      <c r="AR397" s="1480"/>
      <c r="AS397" s="575"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1"/>
      <c r="AU397" s="1303"/>
      <c r="AV397" s="555" t="str">
        <f>IF('別紙様式2-2（４・５月分）'!N301="","",'別紙様式2-2（４・５月分）'!N301)</f>
        <v/>
      </c>
      <c r="AW397" s="1305"/>
      <c r="AX397" s="576"/>
      <c r="AY397" s="1222" t="str">
        <f>IF(OR(T397="新加算Ⅰ",T397="新加算Ⅱ",T397="新加算Ⅲ",T397="新加算Ⅳ",T397="新加算Ⅴ（１）",T397="新加算Ⅴ（２）",T397="新加算Ⅴ（３）",T397="新加算ⅠⅤ（４）",T397="新加算Ⅴ（５）",T397="新加算Ⅴ（６）",T397="新加算Ⅴ（８）",T397="新加算Ⅴ（11）"),IF(AI397="○","","未入力"),"")</f>
        <v/>
      </c>
      <c r="AZ397" s="1222" t="str">
        <f>IF(OR(U397="新加算Ⅰ",U397="新加算Ⅱ",U397="新加算Ⅲ",U397="新加算Ⅳ",U397="新加算Ⅴ（１）",U397="新加算Ⅴ（２）",U397="新加算Ⅴ（３）",U397="新加算ⅠⅤ（４）",U397="新加算Ⅴ（５）",U397="新加算Ⅴ（６）",U397="新加算Ⅴ（８）",U397="新加算Ⅴ（11）"),IF(AJ397="○","","未入力"),"")</f>
        <v/>
      </c>
      <c r="BA397" s="1222" t="str">
        <f>IF(OR(U397="新加算Ⅴ（７）",U397="新加算Ⅴ（９）",U397="新加算Ⅴ（10）",U397="新加算Ⅴ（12）",U397="新加算Ⅴ（13）",U397="新加算Ⅴ（14）"),IF(AK397="○","","未入力"),"")</f>
        <v/>
      </c>
      <c r="BB397" s="1222" t="str">
        <f>IF(OR(U397="新加算Ⅰ",U397="新加算Ⅱ",U397="新加算Ⅲ",U397="新加算Ⅴ（１）",U397="新加算Ⅴ（３）",U397="新加算Ⅴ（８）"),IF(AL397="○","","未入力"),"")</f>
        <v/>
      </c>
      <c r="BC397" s="1472"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03" t="str">
        <f>IF(AND(T397&lt;&gt;"（参考）令和７年度の移行予定",OR(U397="新加算Ⅰ",U397="新加算Ⅴ（１）",U397="新加算Ⅴ（２）",U397="新加算Ⅴ（５）",U397="新加算Ⅴ（７）",U397="新加算Ⅴ（10）")),IF(AN397="","未入力",IF(AN397="いずれも取得していない","要件を満たさない","")),"")</f>
        <v/>
      </c>
      <c r="BE397" s="1303" t="str">
        <f>G394</f>
        <v/>
      </c>
      <c r="BF397" s="1303"/>
      <c r="BG397" s="1303"/>
    </row>
    <row r="398" spans="1:59" ht="30" customHeight="1">
      <c r="A398" s="1266">
        <v>97</v>
      </c>
      <c r="B398" s="1235" t="str">
        <f>IF(基本情報入力シート!C150="","",基本情報入力シート!C150)</f>
        <v/>
      </c>
      <c r="C398" s="1236"/>
      <c r="D398" s="1236"/>
      <c r="E398" s="1236"/>
      <c r="F398" s="1237"/>
      <c r="G398" s="1252" t="str">
        <f>IF(基本情報入力シート!M150="","",基本情報入力シート!M150)</f>
        <v/>
      </c>
      <c r="H398" s="1252" t="str">
        <f>IF(基本情報入力シート!R150="","",基本情報入力シート!R150)</f>
        <v/>
      </c>
      <c r="I398" s="1252" t="str">
        <f>IF(基本情報入力シート!W150="","",基本情報入力シート!W150)</f>
        <v/>
      </c>
      <c r="J398" s="1415" t="str">
        <f>IF(基本情報入力シート!X150="","",基本情報入力シート!X150)</f>
        <v/>
      </c>
      <c r="K398" s="1252" t="str">
        <f>IF(基本情報入力シート!Y150="","",基本情報入力シート!Y150)</f>
        <v/>
      </c>
      <c r="L398" s="1421" t="str">
        <f>IF(基本情報入力シート!AB150="","",基本情報入力シート!AB150)</f>
        <v/>
      </c>
      <c r="M398" s="550" t="str">
        <f>IF('別紙様式2-2（４・５月分）'!P302="","",'別紙様式2-2（４・５月分）'!P302)</f>
        <v/>
      </c>
      <c r="N398" s="1391" t="str">
        <f>IF(SUM('別紙様式2-2（４・５月分）'!Q302:Q304)=0,"",SUM('別紙様式2-2（４・５月分）'!Q302:Q304))</f>
        <v/>
      </c>
      <c r="O398" s="1395" t="str">
        <f>IFERROR(VLOOKUP('別紙様式2-2（４・５月分）'!AQ302,【参考】数式用!$AR$5:$AS$22,2,FALSE),"")</f>
        <v/>
      </c>
      <c r="P398" s="1396"/>
      <c r="Q398" s="1397"/>
      <c r="R398" s="1531" t="str">
        <f>IFERROR(VLOOKUP(K398,【参考】数式用!$A$5:$AB$37,MATCH(O398,【参考】数式用!$B$4:$AB$4,0)+1,0),"")</f>
        <v/>
      </c>
      <c r="S398" s="1403" t="s">
        <v>2102</v>
      </c>
      <c r="T398" s="1527" t="str">
        <f>IF('別紙様式2-3（６月以降分）'!T398="","",'別紙様式2-3（６月以降分）'!T398)</f>
        <v/>
      </c>
      <c r="U398" s="1529" t="str">
        <f>IFERROR(VLOOKUP(K398,【参考】数式用!$A$5:$AB$37,MATCH(T398,【参考】数式用!$B$4:$AB$4,0)+1,0),"")</f>
        <v/>
      </c>
      <c r="V398" s="1409" t="s">
        <v>15</v>
      </c>
      <c r="W398" s="1525">
        <f>'別紙様式2-3（６月以降分）'!W398</f>
        <v>6</v>
      </c>
      <c r="X398" s="1349" t="s">
        <v>10</v>
      </c>
      <c r="Y398" s="1525">
        <f>'別紙様式2-3（６月以降分）'!Y398</f>
        <v>6</v>
      </c>
      <c r="Z398" s="1349" t="s">
        <v>38</v>
      </c>
      <c r="AA398" s="1525">
        <f>'別紙様式2-3（６月以降分）'!AA398</f>
        <v>7</v>
      </c>
      <c r="AB398" s="1349" t="s">
        <v>10</v>
      </c>
      <c r="AC398" s="1525">
        <f>'別紙様式2-3（６月以降分）'!AC398</f>
        <v>3</v>
      </c>
      <c r="AD398" s="1349" t="s">
        <v>2020</v>
      </c>
      <c r="AE398" s="1349" t="s">
        <v>20</v>
      </c>
      <c r="AF398" s="1349">
        <f>IF(W398&gt;=1,(AA398*12+AC398)-(W398*12+Y398)+1,"")</f>
        <v>10</v>
      </c>
      <c r="AG398" s="1351" t="s">
        <v>33</v>
      </c>
      <c r="AH398" s="1517" t="str">
        <f>'別紙様式2-3（６月以降分）'!AH398</f>
        <v/>
      </c>
      <c r="AI398" s="1519" t="str">
        <f>'別紙様式2-3（６月以降分）'!AI398</f>
        <v/>
      </c>
      <c r="AJ398" s="1521">
        <f>'別紙様式2-3（６月以降分）'!AJ398</f>
        <v>0</v>
      </c>
      <c r="AK398" s="1523" t="str">
        <f>IF('別紙様式2-3（６月以降分）'!AK398="","",'別紙様式2-3（６月以降分）'!AK398)</f>
        <v/>
      </c>
      <c r="AL398" s="1512">
        <f>'別紙様式2-3（６月以降分）'!AL398</f>
        <v>0</v>
      </c>
      <c r="AM398" s="1514" t="str">
        <f>IF('別紙様式2-3（６月以降分）'!AM398="","",'別紙様式2-3（６月以降分）'!AM398)</f>
        <v/>
      </c>
      <c r="AN398" s="1333" t="str">
        <f>IF('別紙様式2-3（６月以降分）'!AN398="","",'別紙様式2-3（６月以降分）'!AN398)</f>
        <v/>
      </c>
      <c r="AO398" s="1331" t="str">
        <f>IF('別紙様式2-3（６月以降分）'!AO398="","",'別紙様式2-3（６月以降分）'!AO398)</f>
        <v/>
      </c>
      <c r="AP398" s="1333" t="str">
        <f>IF('別紙様式2-3（６月以降分）'!AP398="","",'別紙様式2-3（６月以降分）'!AP398)</f>
        <v/>
      </c>
      <c r="AQ398" s="1481" t="str">
        <f>IF('別紙様式2-3（６月以降分）'!AQ398="","",'別紙様式2-3（６月以降分）'!AQ398)</f>
        <v/>
      </c>
      <c r="AR398" s="1484" t="str">
        <f>IF('別紙様式2-3（６月以降分）'!AR398="","",'別紙様式2-3（６月以降分）'!AR398)</f>
        <v/>
      </c>
      <c r="AS398" s="570" t="str">
        <f t="shared" ref="AS398" si="665">IF(AU400="","",IF(U400&lt;U398,"！加算の要件上は問題ありませんが、令和６年度当初の新加算の加算率と比較して、移行後の加算率が下がる計画になっています。",""))</f>
        <v/>
      </c>
      <c r="AT398" s="577"/>
      <c r="AU398" s="1301"/>
      <c r="AV398" s="555" t="str">
        <f>IF('別紙様式2-2（４・５月分）'!N302="","",'別紙様式2-2（４・５月分）'!N302)</f>
        <v/>
      </c>
      <c r="AW398" s="1305" t="str">
        <f>IF(SUM('別紙様式2-2（４・５月分）'!O302:O304)=0,"",SUM('別紙様式2-2（４・５月分）'!O302:O304))</f>
        <v/>
      </c>
      <c r="AX398" s="1473" t="str">
        <f>IFERROR(VLOOKUP(K398,【参考】数式用!$AH$2:$AI$34,2,FALSE),"")</f>
        <v/>
      </c>
      <c r="AY398" s="493"/>
      <c r="BD398" s="340"/>
      <c r="BE398" s="1303" t="str">
        <f>G398</f>
        <v/>
      </c>
      <c r="BF398" s="1303"/>
      <c r="BG398" s="1303"/>
    </row>
    <row r="399" spans="1:59" ht="15" customHeight="1">
      <c r="A399" s="1267"/>
      <c r="B399" s="1235"/>
      <c r="C399" s="1236"/>
      <c r="D399" s="1236"/>
      <c r="E399" s="1236"/>
      <c r="F399" s="1237"/>
      <c r="G399" s="1252"/>
      <c r="H399" s="1252"/>
      <c r="I399" s="1252"/>
      <c r="J399" s="1415"/>
      <c r="K399" s="1252"/>
      <c r="L399" s="1421"/>
      <c r="M399" s="1371" t="str">
        <f>IF('別紙様式2-2（４・５月分）'!P303="","",'別紙様式2-2（４・５月分）'!P303)</f>
        <v/>
      </c>
      <c r="N399" s="1392"/>
      <c r="O399" s="1398"/>
      <c r="P399" s="1399"/>
      <c r="Q399" s="1400"/>
      <c r="R399" s="1532"/>
      <c r="S399" s="1404"/>
      <c r="T399" s="1528"/>
      <c r="U399" s="1530"/>
      <c r="V399" s="1410"/>
      <c r="W399" s="1526"/>
      <c r="X399" s="1350"/>
      <c r="Y399" s="1526"/>
      <c r="Z399" s="1350"/>
      <c r="AA399" s="1526"/>
      <c r="AB399" s="1350"/>
      <c r="AC399" s="1526"/>
      <c r="AD399" s="1350"/>
      <c r="AE399" s="1350"/>
      <c r="AF399" s="1350"/>
      <c r="AG399" s="1352"/>
      <c r="AH399" s="1518"/>
      <c r="AI399" s="1520"/>
      <c r="AJ399" s="1522"/>
      <c r="AK399" s="1524"/>
      <c r="AL399" s="1513"/>
      <c r="AM399" s="1515"/>
      <c r="AN399" s="1334"/>
      <c r="AO399" s="1516"/>
      <c r="AP399" s="1334"/>
      <c r="AQ399" s="1482"/>
      <c r="AR399" s="1485"/>
      <c r="AS399" s="1483" t="str">
        <f t="shared" ref="AS399" si="666">IF(AU400="","",IF(OR(AA400="",AA400&lt;&gt;7,AC400="",AC400&lt;&gt;3),"！算定期間の終わりが令和７年３月になっていません。年度内の廃止予定等がなければ、算定対象月を令和７年３月にしてください。",""))</f>
        <v/>
      </c>
      <c r="AT399" s="577"/>
      <c r="AU399" s="1303"/>
      <c r="AV399" s="1304" t="str">
        <f>IF('別紙様式2-2（４・５月分）'!N303="","",'別紙様式2-2（４・５月分）'!N303)</f>
        <v/>
      </c>
      <c r="AW399" s="1305"/>
      <c r="AX399" s="1474"/>
      <c r="AY399" s="430"/>
      <c r="BD399" s="340"/>
      <c r="BE399" s="1303" t="str">
        <f>G398</f>
        <v/>
      </c>
      <c r="BF399" s="1303"/>
      <c r="BG399" s="1303"/>
    </row>
    <row r="400" spans="1:59" ht="15" customHeight="1">
      <c r="A400" s="1295"/>
      <c r="B400" s="1235"/>
      <c r="C400" s="1236"/>
      <c r="D400" s="1236"/>
      <c r="E400" s="1236"/>
      <c r="F400" s="1237"/>
      <c r="G400" s="1252"/>
      <c r="H400" s="1252"/>
      <c r="I400" s="1252"/>
      <c r="J400" s="1415"/>
      <c r="K400" s="1252"/>
      <c r="L400" s="1421"/>
      <c r="M400" s="1372"/>
      <c r="N400" s="1393"/>
      <c r="O400" s="1373" t="s">
        <v>2025</v>
      </c>
      <c r="P400" s="1425" t="str">
        <f>IFERROR(VLOOKUP('別紙様式2-2（４・５月分）'!AQ302,【参考】数式用!$AR$5:$AT$22,3,FALSE),"")</f>
        <v/>
      </c>
      <c r="Q400" s="1377" t="s">
        <v>2036</v>
      </c>
      <c r="R400" s="1508" t="str">
        <f>IFERROR(VLOOKUP(K398,【参考】数式用!$A$5:$AB$37,MATCH(P400,【参考】数式用!$B$4:$AB$4,0)+1,0),"")</f>
        <v/>
      </c>
      <c r="S400" s="1381" t="s">
        <v>2109</v>
      </c>
      <c r="T400" s="1510"/>
      <c r="U400" s="1506" t="str">
        <f>IFERROR(VLOOKUP(K398,【参考】数式用!$A$5:$AB$37,MATCH(T400,【参考】数式用!$B$4:$AB$4,0)+1,0),"")</f>
        <v/>
      </c>
      <c r="V400" s="1387" t="s">
        <v>15</v>
      </c>
      <c r="W400" s="1504"/>
      <c r="X400" s="1363" t="s">
        <v>10</v>
      </c>
      <c r="Y400" s="1504"/>
      <c r="Z400" s="1363" t="s">
        <v>38</v>
      </c>
      <c r="AA400" s="1504"/>
      <c r="AB400" s="1363" t="s">
        <v>10</v>
      </c>
      <c r="AC400" s="1504"/>
      <c r="AD400" s="1363" t="s">
        <v>2020</v>
      </c>
      <c r="AE400" s="1363" t="s">
        <v>20</v>
      </c>
      <c r="AF400" s="1363" t="str">
        <f>IF(W400&gt;=1,(AA400*12+AC400)-(W400*12+Y400)+1,"")</f>
        <v/>
      </c>
      <c r="AG400" s="1359" t="s">
        <v>33</v>
      </c>
      <c r="AH400" s="1365" t="str">
        <f t="shared" ref="AH400" si="667">IFERROR(ROUNDDOWN(ROUND(L398*U400,0),0)*AF400,"")</f>
        <v/>
      </c>
      <c r="AI400" s="1498" t="str">
        <f t="shared" ref="AI400" si="668">IFERROR(ROUNDDOWN(ROUND((L398*(U400-AW398)),0),0)*AF400,"")</f>
        <v/>
      </c>
      <c r="AJ400" s="1369" t="str">
        <f>IFERROR(ROUNDDOWN(ROUNDDOWN(ROUND(L398*VLOOKUP(K398,【参考】数式用!$A$5:$AB$27,MATCH("新加算Ⅳ",【参考】数式用!$B$4:$AB$4,0)+1,0),0),0)*AF400*0.5,0),"")</f>
        <v/>
      </c>
      <c r="AK400" s="1500"/>
      <c r="AL400" s="1502" t="str">
        <f>IFERROR(IF('別紙様式2-2（４・５月分）'!P400="ベア加算","", IF(OR(T400="新加算Ⅰ",T400="新加算Ⅱ",T400="新加算Ⅲ",T400="新加算Ⅳ"),ROUNDDOWN(ROUND(L398*VLOOKUP(K398,【参考】数式用!$A$5:$I$27,MATCH("ベア加算",【参考】数式用!$B$4:$I$4,0)+1,0),0),0)*AF400,"")),"")</f>
        <v/>
      </c>
      <c r="AM400" s="1494"/>
      <c r="AN400" s="1475"/>
      <c r="AO400" s="1496"/>
      <c r="AP400" s="1475"/>
      <c r="AQ400" s="1477"/>
      <c r="AR400" s="1479"/>
      <c r="AS400" s="1483"/>
      <c r="AT400" s="451"/>
      <c r="AU400" s="1303" t="str">
        <f>IF(AND(AA398&lt;&gt;7,AC398&lt;&gt;3),"V列に色付け","")</f>
        <v/>
      </c>
      <c r="AV400" s="1304"/>
      <c r="AW400" s="1305"/>
      <c r="AX400" s="574"/>
      <c r="AY400" s="1222" t="str">
        <f>IF(AL400&lt;&gt;"",IF(AM400="○","入力済","未入力"),"")</f>
        <v/>
      </c>
      <c r="AZ400" s="1222"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2" t="str">
        <f>IF(OR(T400="新加算Ⅴ（７）",T400="新加算Ⅴ（９）",T400="新加算Ⅴ（10）",T400="新加算Ⅴ（12）",T400="新加算Ⅴ（13）",T400="新加算Ⅴ（14）"),IF(OR(AO400="○",AO400="令和６年度中に満たす"),"入力済","未入力"),"")</f>
        <v/>
      </c>
      <c r="BB400" s="1222" t="str">
        <f>IF(OR(T400="新加算Ⅰ",T400="新加算Ⅱ",T400="新加算Ⅲ",T400="新加算Ⅴ（１）",T400="新加算Ⅴ（３）",T400="新加算Ⅴ（８）"),IF(OR(AP400="○",AP400="令和６年度中に満たす"),"入力済","未入力"),"")</f>
        <v/>
      </c>
      <c r="BC400" s="1472"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03" t="str">
        <f>IF(OR(T400="新加算Ⅰ",T400="新加算Ⅴ（１）",T400="新加算Ⅴ（２）",T400="新加算Ⅴ（５）",T400="新加算Ⅴ（７）",T400="新加算Ⅴ（10）"),IF(AR400="","未入力","入力済"),"")</f>
        <v/>
      </c>
      <c r="BE400" s="1303" t="str">
        <f>G398</f>
        <v/>
      </c>
      <c r="BF400" s="1303"/>
      <c r="BG400" s="1303"/>
    </row>
    <row r="401" spans="1:59" ht="30" customHeight="1" thickBot="1">
      <c r="A401" s="1268"/>
      <c r="B401" s="1411"/>
      <c r="C401" s="1412"/>
      <c r="D401" s="1412"/>
      <c r="E401" s="1412"/>
      <c r="F401" s="1413"/>
      <c r="G401" s="1253"/>
      <c r="H401" s="1253"/>
      <c r="I401" s="1253"/>
      <c r="J401" s="1416"/>
      <c r="K401" s="1253"/>
      <c r="L401" s="1422"/>
      <c r="M401" s="553" t="str">
        <f>IF('別紙様式2-2（４・５月分）'!P304="","",'別紙様式2-2（４・５月分）'!P304)</f>
        <v/>
      </c>
      <c r="N401" s="1394"/>
      <c r="O401" s="1374"/>
      <c r="P401" s="1426"/>
      <c r="Q401" s="1378"/>
      <c r="R401" s="1509"/>
      <c r="S401" s="1382"/>
      <c r="T401" s="1511"/>
      <c r="U401" s="1507"/>
      <c r="V401" s="1388"/>
      <c r="W401" s="1505"/>
      <c r="X401" s="1364"/>
      <c r="Y401" s="1505"/>
      <c r="Z401" s="1364"/>
      <c r="AA401" s="1505"/>
      <c r="AB401" s="1364"/>
      <c r="AC401" s="1505"/>
      <c r="AD401" s="1364"/>
      <c r="AE401" s="1364"/>
      <c r="AF401" s="1364"/>
      <c r="AG401" s="1360"/>
      <c r="AH401" s="1366"/>
      <c r="AI401" s="1499"/>
      <c r="AJ401" s="1370"/>
      <c r="AK401" s="1501"/>
      <c r="AL401" s="1503"/>
      <c r="AM401" s="1495"/>
      <c r="AN401" s="1476"/>
      <c r="AO401" s="1497"/>
      <c r="AP401" s="1476"/>
      <c r="AQ401" s="1478"/>
      <c r="AR401" s="1480"/>
      <c r="AS401" s="575"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1"/>
      <c r="AU401" s="1303"/>
      <c r="AV401" s="555" t="str">
        <f>IF('別紙様式2-2（４・５月分）'!N304="","",'別紙様式2-2（４・５月分）'!N304)</f>
        <v/>
      </c>
      <c r="AW401" s="1305"/>
      <c r="AX401" s="576"/>
      <c r="AY401" s="1222" t="str">
        <f>IF(OR(T401="新加算Ⅰ",T401="新加算Ⅱ",T401="新加算Ⅲ",T401="新加算Ⅳ",T401="新加算Ⅴ（１）",T401="新加算Ⅴ（２）",T401="新加算Ⅴ（３）",T401="新加算ⅠⅤ（４）",T401="新加算Ⅴ（５）",T401="新加算Ⅴ（６）",T401="新加算Ⅴ（８）",T401="新加算Ⅴ（11）"),IF(AI401="○","","未入力"),"")</f>
        <v/>
      </c>
      <c r="AZ401" s="1222" t="str">
        <f>IF(OR(U401="新加算Ⅰ",U401="新加算Ⅱ",U401="新加算Ⅲ",U401="新加算Ⅳ",U401="新加算Ⅴ（１）",U401="新加算Ⅴ（２）",U401="新加算Ⅴ（３）",U401="新加算ⅠⅤ（４）",U401="新加算Ⅴ（５）",U401="新加算Ⅴ（６）",U401="新加算Ⅴ（８）",U401="新加算Ⅴ（11）"),IF(AJ401="○","","未入力"),"")</f>
        <v/>
      </c>
      <c r="BA401" s="1222" t="str">
        <f>IF(OR(U401="新加算Ⅴ（７）",U401="新加算Ⅴ（９）",U401="新加算Ⅴ（10）",U401="新加算Ⅴ（12）",U401="新加算Ⅴ（13）",U401="新加算Ⅴ（14）"),IF(AK401="○","","未入力"),"")</f>
        <v/>
      </c>
      <c r="BB401" s="1222" t="str">
        <f>IF(OR(U401="新加算Ⅰ",U401="新加算Ⅱ",U401="新加算Ⅲ",U401="新加算Ⅴ（１）",U401="新加算Ⅴ（３）",U401="新加算Ⅴ（８）"),IF(AL401="○","","未入力"),"")</f>
        <v/>
      </c>
      <c r="BC401" s="1472"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03" t="str">
        <f>IF(AND(T401&lt;&gt;"（参考）令和７年度の移行予定",OR(U401="新加算Ⅰ",U401="新加算Ⅴ（１）",U401="新加算Ⅴ（２）",U401="新加算Ⅴ（５）",U401="新加算Ⅴ（７）",U401="新加算Ⅴ（10）")),IF(AN401="","未入力",IF(AN401="いずれも取得していない","要件を満たさない","")),"")</f>
        <v/>
      </c>
      <c r="BE401" s="1303" t="str">
        <f>G398</f>
        <v/>
      </c>
      <c r="BF401" s="1303"/>
      <c r="BG401" s="1303"/>
    </row>
    <row r="402" spans="1:59" ht="30" customHeight="1">
      <c r="A402" s="1293">
        <v>98</v>
      </c>
      <c r="B402" s="1232" t="str">
        <f>IF(基本情報入力シート!C151="","",基本情報入力シート!C151)</f>
        <v/>
      </c>
      <c r="C402" s="1233"/>
      <c r="D402" s="1233"/>
      <c r="E402" s="1233"/>
      <c r="F402" s="1234"/>
      <c r="G402" s="1251" t="str">
        <f>IF(基本情報入力シート!M151="","",基本情報入力シート!M151)</f>
        <v/>
      </c>
      <c r="H402" s="1251" t="str">
        <f>IF(基本情報入力シート!R151="","",基本情報入力シート!R151)</f>
        <v/>
      </c>
      <c r="I402" s="1251" t="str">
        <f>IF(基本情報入力シート!W151="","",基本情報入力シート!W151)</f>
        <v/>
      </c>
      <c r="J402" s="1414" t="str">
        <f>IF(基本情報入力シート!X151="","",基本情報入力シート!X151)</f>
        <v/>
      </c>
      <c r="K402" s="1251" t="str">
        <f>IF(基本情報入力シート!Y151="","",基本情報入力シート!Y151)</f>
        <v/>
      </c>
      <c r="L402" s="1427" t="str">
        <f>IF(基本情報入力シート!AB151="","",基本情報入力シート!AB151)</f>
        <v/>
      </c>
      <c r="M402" s="550" t="str">
        <f>IF('別紙様式2-2（４・５月分）'!P305="","",'別紙様式2-2（４・５月分）'!P305)</f>
        <v/>
      </c>
      <c r="N402" s="1391" t="str">
        <f>IF(SUM('別紙様式2-2（４・５月分）'!Q305:Q307)=0,"",SUM('別紙様式2-2（４・５月分）'!Q305:Q307))</f>
        <v/>
      </c>
      <c r="O402" s="1395" t="str">
        <f>IFERROR(VLOOKUP('別紙様式2-2（４・５月分）'!AQ305,【参考】数式用!$AR$5:$AS$22,2,FALSE),"")</f>
        <v/>
      </c>
      <c r="P402" s="1396"/>
      <c r="Q402" s="1397"/>
      <c r="R402" s="1531" t="str">
        <f>IFERROR(VLOOKUP(K402,【参考】数式用!$A$5:$AB$37,MATCH(O402,【参考】数式用!$B$4:$AB$4,0)+1,0),"")</f>
        <v/>
      </c>
      <c r="S402" s="1403" t="s">
        <v>2102</v>
      </c>
      <c r="T402" s="1527" t="str">
        <f>IF('別紙様式2-3（６月以降分）'!T402="","",'別紙様式2-3（６月以降分）'!T402)</f>
        <v/>
      </c>
      <c r="U402" s="1529" t="str">
        <f>IFERROR(VLOOKUP(K402,【参考】数式用!$A$5:$AB$37,MATCH(T402,【参考】数式用!$B$4:$AB$4,0)+1,0),"")</f>
        <v/>
      </c>
      <c r="V402" s="1409" t="s">
        <v>15</v>
      </c>
      <c r="W402" s="1525">
        <f>'別紙様式2-3（６月以降分）'!W402</f>
        <v>6</v>
      </c>
      <c r="X402" s="1349" t="s">
        <v>10</v>
      </c>
      <c r="Y402" s="1525">
        <f>'別紙様式2-3（６月以降分）'!Y402</f>
        <v>6</v>
      </c>
      <c r="Z402" s="1349" t="s">
        <v>38</v>
      </c>
      <c r="AA402" s="1525">
        <f>'別紙様式2-3（６月以降分）'!AA402</f>
        <v>7</v>
      </c>
      <c r="AB402" s="1349" t="s">
        <v>10</v>
      </c>
      <c r="AC402" s="1525">
        <f>'別紙様式2-3（６月以降分）'!AC402</f>
        <v>3</v>
      </c>
      <c r="AD402" s="1349" t="s">
        <v>2020</v>
      </c>
      <c r="AE402" s="1349" t="s">
        <v>20</v>
      </c>
      <c r="AF402" s="1349">
        <f>IF(W402&gt;=1,(AA402*12+AC402)-(W402*12+Y402)+1,"")</f>
        <v>10</v>
      </c>
      <c r="AG402" s="1351" t="s">
        <v>33</v>
      </c>
      <c r="AH402" s="1517" t="str">
        <f>'別紙様式2-3（６月以降分）'!AH402</f>
        <v/>
      </c>
      <c r="AI402" s="1519" t="str">
        <f>'別紙様式2-3（６月以降分）'!AI402</f>
        <v/>
      </c>
      <c r="AJ402" s="1521">
        <f>'別紙様式2-3（６月以降分）'!AJ402</f>
        <v>0</v>
      </c>
      <c r="AK402" s="1523" t="str">
        <f>IF('別紙様式2-3（６月以降分）'!AK402="","",'別紙様式2-3（６月以降分）'!AK402)</f>
        <v/>
      </c>
      <c r="AL402" s="1512">
        <f>'別紙様式2-3（６月以降分）'!AL402</f>
        <v>0</v>
      </c>
      <c r="AM402" s="1514" t="str">
        <f>IF('別紙様式2-3（６月以降分）'!AM402="","",'別紙様式2-3（６月以降分）'!AM402)</f>
        <v/>
      </c>
      <c r="AN402" s="1333" t="str">
        <f>IF('別紙様式2-3（６月以降分）'!AN402="","",'別紙様式2-3（６月以降分）'!AN402)</f>
        <v/>
      </c>
      <c r="AO402" s="1331" t="str">
        <f>IF('別紙様式2-3（６月以降分）'!AO402="","",'別紙様式2-3（６月以降分）'!AO402)</f>
        <v/>
      </c>
      <c r="AP402" s="1333" t="str">
        <f>IF('別紙様式2-3（６月以降分）'!AP402="","",'別紙様式2-3（６月以降分）'!AP402)</f>
        <v/>
      </c>
      <c r="AQ402" s="1481" t="str">
        <f>IF('別紙様式2-3（６月以降分）'!AQ402="","",'別紙様式2-3（６月以降分）'!AQ402)</f>
        <v/>
      </c>
      <c r="AR402" s="1484" t="str">
        <f>IF('別紙様式2-3（６月以降分）'!AR402="","",'別紙様式2-3（６月以降分）'!AR402)</f>
        <v/>
      </c>
      <c r="AS402" s="570" t="str">
        <f t="shared" ref="AS402" si="672">IF(AU404="","",IF(U404&lt;U402,"！加算の要件上は問題ありませんが、令和６年度当初の新加算の加算率と比較して、移行後の加算率が下がる計画になっています。",""))</f>
        <v/>
      </c>
      <c r="AT402" s="577"/>
      <c r="AU402" s="1301"/>
      <c r="AV402" s="555" t="str">
        <f>IF('別紙様式2-2（４・５月分）'!N305="","",'別紙様式2-2（４・５月分）'!N305)</f>
        <v/>
      </c>
      <c r="AW402" s="1305" t="str">
        <f>IF(SUM('別紙様式2-2（４・５月分）'!O305:O307)=0,"",SUM('別紙様式2-2（４・５月分）'!O305:O307))</f>
        <v/>
      </c>
      <c r="AX402" s="1473" t="str">
        <f>IFERROR(VLOOKUP(K402,【参考】数式用!$AH$2:$AI$34,2,FALSE),"")</f>
        <v/>
      </c>
      <c r="AY402" s="493"/>
      <c r="BD402" s="340"/>
      <c r="BE402" s="1303" t="str">
        <f>G402</f>
        <v/>
      </c>
      <c r="BF402" s="1303"/>
      <c r="BG402" s="1303"/>
    </row>
    <row r="403" spans="1:59" ht="15" customHeight="1">
      <c r="A403" s="1267"/>
      <c r="B403" s="1235"/>
      <c r="C403" s="1236"/>
      <c r="D403" s="1236"/>
      <c r="E403" s="1236"/>
      <c r="F403" s="1237"/>
      <c r="G403" s="1252"/>
      <c r="H403" s="1252"/>
      <c r="I403" s="1252"/>
      <c r="J403" s="1415"/>
      <c r="K403" s="1252"/>
      <c r="L403" s="1421"/>
      <c r="M403" s="1371" t="str">
        <f>IF('別紙様式2-2（４・５月分）'!P306="","",'別紙様式2-2（４・５月分）'!P306)</f>
        <v/>
      </c>
      <c r="N403" s="1392"/>
      <c r="O403" s="1398"/>
      <c r="P403" s="1399"/>
      <c r="Q403" s="1400"/>
      <c r="R403" s="1532"/>
      <c r="S403" s="1404"/>
      <c r="T403" s="1528"/>
      <c r="U403" s="1530"/>
      <c r="V403" s="1410"/>
      <c r="W403" s="1526"/>
      <c r="X403" s="1350"/>
      <c r="Y403" s="1526"/>
      <c r="Z403" s="1350"/>
      <c r="AA403" s="1526"/>
      <c r="AB403" s="1350"/>
      <c r="AC403" s="1526"/>
      <c r="AD403" s="1350"/>
      <c r="AE403" s="1350"/>
      <c r="AF403" s="1350"/>
      <c r="AG403" s="1352"/>
      <c r="AH403" s="1518"/>
      <c r="AI403" s="1520"/>
      <c r="AJ403" s="1522"/>
      <c r="AK403" s="1524"/>
      <c r="AL403" s="1513"/>
      <c r="AM403" s="1515"/>
      <c r="AN403" s="1334"/>
      <c r="AO403" s="1516"/>
      <c r="AP403" s="1334"/>
      <c r="AQ403" s="1482"/>
      <c r="AR403" s="1485"/>
      <c r="AS403" s="1483" t="str">
        <f t="shared" ref="AS403" si="673">IF(AU404="","",IF(OR(AA404="",AA404&lt;&gt;7,AC404="",AC404&lt;&gt;3),"！算定期間の終わりが令和７年３月になっていません。年度内の廃止予定等がなければ、算定対象月を令和７年３月にしてください。",""))</f>
        <v/>
      </c>
      <c r="AT403" s="577"/>
      <c r="AU403" s="1303"/>
      <c r="AV403" s="1304" t="str">
        <f>IF('別紙様式2-2（４・５月分）'!N306="","",'別紙様式2-2（４・５月分）'!N306)</f>
        <v/>
      </c>
      <c r="AW403" s="1305"/>
      <c r="AX403" s="1474"/>
      <c r="AY403" s="430"/>
      <c r="BD403" s="340"/>
      <c r="BE403" s="1303" t="str">
        <f>G402</f>
        <v/>
      </c>
      <c r="BF403" s="1303"/>
      <c r="BG403" s="1303"/>
    </row>
    <row r="404" spans="1:59" ht="15" customHeight="1">
      <c r="A404" s="1295"/>
      <c r="B404" s="1235"/>
      <c r="C404" s="1236"/>
      <c r="D404" s="1236"/>
      <c r="E404" s="1236"/>
      <c r="F404" s="1237"/>
      <c r="G404" s="1252"/>
      <c r="H404" s="1252"/>
      <c r="I404" s="1252"/>
      <c r="J404" s="1415"/>
      <c r="K404" s="1252"/>
      <c r="L404" s="1421"/>
      <c r="M404" s="1372"/>
      <c r="N404" s="1393"/>
      <c r="O404" s="1373" t="s">
        <v>2025</v>
      </c>
      <c r="P404" s="1425" t="str">
        <f>IFERROR(VLOOKUP('別紙様式2-2（４・５月分）'!AQ305,【参考】数式用!$AR$5:$AT$22,3,FALSE),"")</f>
        <v/>
      </c>
      <c r="Q404" s="1377" t="s">
        <v>2036</v>
      </c>
      <c r="R404" s="1508" t="str">
        <f>IFERROR(VLOOKUP(K402,【参考】数式用!$A$5:$AB$37,MATCH(P404,【参考】数式用!$B$4:$AB$4,0)+1,0),"")</f>
        <v/>
      </c>
      <c r="S404" s="1381" t="s">
        <v>2109</v>
      </c>
      <c r="T404" s="1510"/>
      <c r="U404" s="1506" t="str">
        <f>IFERROR(VLOOKUP(K402,【参考】数式用!$A$5:$AB$37,MATCH(T404,【参考】数式用!$B$4:$AB$4,0)+1,0),"")</f>
        <v/>
      </c>
      <c r="V404" s="1387" t="s">
        <v>15</v>
      </c>
      <c r="W404" s="1504"/>
      <c r="X404" s="1363" t="s">
        <v>10</v>
      </c>
      <c r="Y404" s="1504"/>
      <c r="Z404" s="1363" t="s">
        <v>38</v>
      </c>
      <c r="AA404" s="1504"/>
      <c r="AB404" s="1363" t="s">
        <v>10</v>
      </c>
      <c r="AC404" s="1504"/>
      <c r="AD404" s="1363" t="s">
        <v>2020</v>
      </c>
      <c r="AE404" s="1363" t="s">
        <v>20</v>
      </c>
      <c r="AF404" s="1363" t="str">
        <f>IF(W404&gt;=1,(AA404*12+AC404)-(W404*12+Y404)+1,"")</f>
        <v/>
      </c>
      <c r="AG404" s="1359" t="s">
        <v>33</v>
      </c>
      <c r="AH404" s="1365" t="str">
        <f t="shared" ref="AH404" si="674">IFERROR(ROUNDDOWN(ROUND(L402*U404,0),0)*AF404,"")</f>
        <v/>
      </c>
      <c r="AI404" s="1498" t="str">
        <f t="shared" ref="AI404" si="675">IFERROR(ROUNDDOWN(ROUND((L402*(U404-AW402)),0),0)*AF404,"")</f>
        <v/>
      </c>
      <c r="AJ404" s="1369" t="str">
        <f>IFERROR(ROUNDDOWN(ROUNDDOWN(ROUND(L402*VLOOKUP(K402,【参考】数式用!$A$5:$AB$27,MATCH("新加算Ⅳ",【参考】数式用!$B$4:$AB$4,0)+1,0),0),0)*AF404*0.5,0),"")</f>
        <v/>
      </c>
      <c r="AK404" s="1500"/>
      <c r="AL404" s="1502" t="str">
        <f>IFERROR(IF('別紙様式2-2（４・５月分）'!P404="ベア加算","", IF(OR(T404="新加算Ⅰ",T404="新加算Ⅱ",T404="新加算Ⅲ",T404="新加算Ⅳ"),ROUNDDOWN(ROUND(L402*VLOOKUP(K402,【参考】数式用!$A$5:$I$27,MATCH("ベア加算",【参考】数式用!$B$4:$I$4,0)+1,0),0),0)*AF404,"")),"")</f>
        <v/>
      </c>
      <c r="AM404" s="1494"/>
      <c r="AN404" s="1475"/>
      <c r="AO404" s="1496"/>
      <c r="AP404" s="1475"/>
      <c r="AQ404" s="1477"/>
      <c r="AR404" s="1479"/>
      <c r="AS404" s="1483"/>
      <c r="AT404" s="451"/>
      <c r="AU404" s="1303" t="str">
        <f>IF(AND(AA402&lt;&gt;7,AC402&lt;&gt;3),"V列に色付け","")</f>
        <v/>
      </c>
      <c r="AV404" s="1304"/>
      <c r="AW404" s="1305"/>
      <c r="AX404" s="574"/>
      <c r="AY404" s="1222" t="str">
        <f>IF(AL404&lt;&gt;"",IF(AM404="○","入力済","未入力"),"")</f>
        <v/>
      </c>
      <c r="AZ404" s="1222"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2" t="str">
        <f>IF(OR(T404="新加算Ⅴ（７）",T404="新加算Ⅴ（９）",T404="新加算Ⅴ（10）",T404="新加算Ⅴ（12）",T404="新加算Ⅴ（13）",T404="新加算Ⅴ（14）"),IF(OR(AO404="○",AO404="令和６年度中に満たす"),"入力済","未入力"),"")</f>
        <v/>
      </c>
      <c r="BB404" s="1222" t="str">
        <f>IF(OR(T404="新加算Ⅰ",T404="新加算Ⅱ",T404="新加算Ⅲ",T404="新加算Ⅴ（１）",T404="新加算Ⅴ（３）",T404="新加算Ⅴ（８）"),IF(OR(AP404="○",AP404="令和６年度中に満たす"),"入力済","未入力"),"")</f>
        <v/>
      </c>
      <c r="BC404" s="1472"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03" t="str">
        <f>IF(OR(T404="新加算Ⅰ",T404="新加算Ⅴ（１）",T404="新加算Ⅴ（２）",T404="新加算Ⅴ（５）",T404="新加算Ⅴ（７）",T404="新加算Ⅴ（10）"),IF(AR404="","未入力","入力済"),"")</f>
        <v/>
      </c>
      <c r="BE404" s="1303" t="str">
        <f>G402</f>
        <v/>
      </c>
      <c r="BF404" s="1303"/>
      <c r="BG404" s="1303"/>
    </row>
    <row r="405" spans="1:59" ht="30" customHeight="1" thickBot="1">
      <c r="A405" s="1268"/>
      <c r="B405" s="1411"/>
      <c r="C405" s="1412"/>
      <c r="D405" s="1412"/>
      <c r="E405" s="1412"/>
      <c r="F405" s="1413"/>
      <c r="G405" s="1253"/>
      <c r="H405" s="1253"/>
      <c r="I405" s="1253"/>
      <c r="J405" s="1416"/>
      <c r="K405" s="1253"/>
      <c r="L405" s="1422"/>
      <c r="M405" s="553" t="str">
        <f>IF('別紙様式2-2（４・５月分）'!P307="","",'別紙様式2-2（４・５月分）'!P307)</f>
        <v/>
      </c>
      <c r="N405" s="1394"/>
      <c r="O405" s="1374"/>
      <c r="P405" s="1426"/>
      <c r="Q405" s="1378"/>
      <c r="R405" s="1509"/>
      <c r="S405" s="1382"/>
      <c r="T405" s="1511"/>
      <c r="U405" s="1507"/>
      <c r="V405" s="1388"/>
      <c r="W405" s="1505"/>
      <c r="X405" s="1364"/>
      <c r="Y405" s="1505"/>
      <c r="Z405" s="1364"/>
      <c r="AA405" s="1505"/>
      <c r="AB405" s="1364"/>
      <c r="AC405" s="1505"/>
      <c r="AD405" s="1364"/>
      <c r="AE405" s="1364"/>
      <c r="AF405" s="1364"/>
      <c r="AG405" s="1360"/>
      <c r="AH405" s="1366"/>
      <c r="AI405" s="1499"/>
      <c r="AJ405" s="1370"/>
      <c r="AK405" s="1501"/>
      <c r="AL405" s="1503"/>
      <c r="AM405" s="1495"/>
      <c r="AN405" s="1476"/>
      <c r="AO405" s="1497"/>
      <c r="AP405" s="1476"/>
      <c r="AQ405" s="1478"/>
      <c r="AR405" s="1480"/>
      <c r="AS405" s="575"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1"/>
      <c r="AU405" s="1303"/>
      <c r="AV405" s="555" t="str">
        <f>IF('別紙様式2-2（４・５月分）'!N307="","",'別紙様式2-2（４・５月分）'!N307)</f>
        <v/>
      </c>
      <c r="AW405" s="1305"/>
      <c r="AX405" s="576"/>
      <c r="AY405" s="1222" t="str">
        <f>IF(OR(T405="新加算Ⅰ",T405="新加算Ⅱ",T405="新加算Ⅲ",T405="新加算Ⅳ",T405="新加算Ⅴ（１）",T405="新加算Ⅴ（２）",T405="新加算Ⅴ（３）",T405="新加算ⅠⅤ（４）",T405="新加算Ⅴ（５）",T405="新加算Ⅴ（６）",T405="新加算Ⅴ（８）",T405="新加算Ⅴ（11）"),IF(AI405="○","","未入力"),"")</f>
        <v/>
      </c>
      <c r="AZ405" s="1222" t="str">
        <f>IF(OR(U405="新加算Ⅰ",U405="新加算Ⅱ",U405="新加算Ⅲ",U405="新加算Ⅳ",U405="新加算Ⅴ（１）",U405="新加算Ⅴ（２）",U405="新加算Ⅴ（３）",U405="新加算ⅠⅤ（４）",U405="新加算Ⅴ（５）",U405="新加算Ⅴ（６）",U405="新加算Ⅴ（８）",U405="新加算Ⅴ（11）"),IF(AJ405="○","","未入力"),"")</f>
        <v/>
      </c>
      <c r="BA405" s="1222" t="str">
        <f>IF(OR(U405="新加算Ⅴ（７）",U405="新加算Ⅴ（９）",U405="新加算Ⅴ（10）",U405="新加算Ⅴ（12）",U405="新加算Ⅴ（13）",U405="新加算Ⅴ（14）"),IF(AK405="○","","未入力"),"")</f>
        <v/>
      </c>
      <c r="BB405" s="1222" t="str">
        <f>IF(OR(U405="新加算Ⅰ",U405="新加算Ⅱ",U405="新加算Ⅲ",U405="新加算Ⅴ（１）",U405="新加算Ⅴ（３）",U405="新加算Ⅴ（８）"),IF(AL405="○","","未入力"),"")</f>
        <v/>
      </c>
      <c r="BC405" s="1472"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03" t="str">
        <f>IF(AND(T405&lt;&gt;"（参考）令和７年度の移行予定",OR(U405="新加算Ⅰ",U405="新加算Ⅴ（１）",U405="新加算Ⅴ（２）",U405="新加算Ⅴ（５）",U405="新加算Ⅴ（７）",U405="新加算Ⅴ（10）")),IF(AN405="","未入力",IF(AN405="いずれも取得していない","要件を満たさない","")),"")</f>
        <v/>
      </c>
      <c r="BE405" s="1303" t="str">
        <f>G402</f>
        <v/>
      </c>
      <c r="BF405" s="1303"/>
      <c r="BG405" s="1303"/>
    </row>
    <row r="406" spans="1:59" ht="30" customHeight="1">
      <c r="A406" s="1266">
        <v>99</v>
      </c>
      <c r="B406" s="1235" t="str">
        <f>IF(基本情報入力シート!C152="","",基本情報入力シート!C152)</f>
        <v/>
      </c>
      <c r="C406" s="1236"/>
      <c r="D406" s="1236"/>
      <c r="E406" s="1236"/>
      <c r="F406" s="1237"/>
      <c r="G406" s="1252" t="str">
        <f>IF(基本情報入力シート!M152="","",基本情報入力シート!M152)</f>
        <v/>
      </c>
      <c r="H406" s="1252" t="str">
        <f>IF(基本情報入力シート!R152="","",基本情報入力シート!R152)</f>
        <v/>
      </c>
      <c r="I406" s="1252" t="str">
        <f>IF(基本情報入力シート!W152="","",基本情報入力シート!W152)</f>
        <v/>
      </c>
      <c r="J406" s="1415" t="str">
        <f>IF(基本情報入力シート!X152="","",基本情報入力シート!X152)</f>
        <v/>
      </c>
      <c r="K406" s="1252" t="str">
        <f>IF(基本情報入力シート!Y152="","",基本情報入力シート!Y152)</f>
        <v/>
      </c>
      <c r="L406" s="1421" t="str">
        <f>IF(基本情報入力シート!AB152="","",基本情報入力シート!AB152)</f>
        <v/>
      </c>
      <c r="M406" s="550" t="str">
        <f>IF('別紙様式2-2（４・５月分）'!P308="","",'別紙様式2-2（４・５月分）'!P308)</f>
        <v/>
      </c>
      <c r="N406" s="1391" t="str">
        <f>IF(SUM('別紙様式2-2（４・５月分）'!Q308:Q310)=0,"",SUM('別紙様式2-2（４・５月分）'!Q308:Q310))</f>
        <v/>
      </c>
      <c r="O406" s="1395" t="str">
        <f>IFERROR(VLOOKUP('別紙様式2-2（４・５月分）'!AQ308,【参考】数式用!$AR$5:$AS$22,2,FALSE),"")</f>
        <v/>
      </c>
      <c r="P406" s="1396"/>
      <c r="Q406" s="1397"/>
      <c r="R406" s="1531" t="str">
        <f>IFERROR(VLOOKUP(K406,【参考】数式用!$A$5:$AB$37,MATCH(O406,【参考】数式用!$B$4:$AB$4,0)+1,0),"")</f>
        <v/>
      </c>
      <c r="S406" s="1403" t="s">
        <v>2102</v>
      </c>
      <c r="T406" s="1527" t="str">
        <f>IF('別紙様式2-3（６月以降分）'!T406="","",'別紙様式2-3（６月以降分）'!T406)</f>
        <v/>
      </c>
      <c r="U406" s="1529" t="str">
        <f>IFERROR(VLOOKUP(K406,【参考】数式用!$A$5:$AB$37,MATCH(T406,【参考】数式用!$B$4:$AB$4,0)+1,0),"")</f>
        <v/>
      </c>
      <c r="V406" s="1409" t="s">
        <v>15</v>
      </c>
      <c r="W406" s="1525">
        <f>'別紙様式2-3（６月以降分）'!W406</f>
        <v>6</v>
      </c>
      <c r="X406" s="1349" t="s">
        <v>10</v>
      </c>
      <c r="Y406" s="1525">
        <f>'別紙様式2-3（６月以降分）'!Y406</f>
        <v>6</v>
      </c>
      <c r="Z406" s="1349" t="s">
        <v>38</v>
      </c>
      <c r="AA406" s="1525">
        <f>'別紙様式2-3（６月以降分）'!AA406</f>
        <v>7</v>
      </c>
      <c r="AB406" s="1349" t="s">
        <v>10</v>
      </c>
      <c r="AC406" s="1525">
        <f>'別紙様式2-3（６月以降分）'!AC406</f>
        <v>3</v>
      </c>
      <c r="AD406" s="1349" t="s">
        <v>2020</v>
      </c>
      <c r="AE406" s="1349" t="s">
        <v>20</v>
      </c>
      <c r="AF406" s="1349">
        <f>IF(W406&gt;=1,(AA406*12+AC406)-(W406*12+Y406)+1,"")</f>
        <v>10</v>
      </c>
      <c r="AG406" s="1351" t="s">
        <v>33</v>
      </c>
      <c r="AH406" s="1517" t="str">
        <f>'別紙様式2-3（６月以降分）'!AH406</f>
        <v/>
      </c>
      <c r="AI406" s="1519" t="str">
        <f>'別紙様式2-3（６月以降分）'!AI406</f>
        <v/>
      </c>
      <c r="AJ406" s="1521">
        <f>'別紙様式2-3（６月以降分）'!AJ406</f>
        <v>0</v>
      </c>
      <c r="AK406" s="1523" t="str">
        <f>IF('別紙様式2-3（６月以降分）'!AK406="","",'別紙様式2-3（６月以降分）'!AK406)</f>
        <v/>
      </c>
      <c r="AL406" s="1512">
        <f>'別紙様式2-3（６月以降分）'!AL406</f>
        <v>0</v>
      </c>
      <c r="AM406" s="1514" t="str">
        <f>IF('別紙様式2-3（６月以降分）'!AM406="","",'別紙様式2-3（６月以降分）'!AM406)</f>
        <v/>
      </c>
      <c r="AN406" s="1333" t="str">
        <f>IF('別紙様式2-3（６月以降分）'!AN406="","",'別紙様式2-3（６月以降分）'!AN406)</f>
        <v/>
      </c>
      <c r="AO406" s="1331" t="str">
        <f>IF('別紙様式2-3（６月以降分）'!AO406="","",'別紙様式2-3（６月以降分）'!AO406)</f>
        <v/>
      </c>
      <c r="AP406" s="1333" t="str">
        <f>IF('別紙様式2-3（６月以降分）'!AP406="","",'別紙様式2-3（６月以降分）'!AP406)</f>
        <v/>
      </c>
      <c r="AQ406" s="1481" t="str">
        <f>IF('別紙様式2-3（６月以降分）'!AQ406="","",'別紙様式2-3（６月以降分）'!AQ406)</f>
        <v/>
      </c>
      <c r="AR406" s="1484" t="str">
        <f>IF('別紙様式2-3（６月以降分）'!AR406="","",'別紙様式2-3（６月以降分）'!AR406)</f>
        <v/>
      </c>
      <c r="AS406" s="570" t="str">
        <f t="shared" ref="AS406" si="679">IF(AU408="","",IF(U408&lt;U406,"！加算の要件上は問題ありませんが、令和６年度当初の新加算の加算率と比較して、移行後の加算率が下がる計画になっています。",""))</f>
        <v/>
      </c>
      <c r="AT406" s="577"/>
      <c r="AU406" s="1301"/>
      <c r="AV406" s="555" t="str">
        <f>IF('別紙様式2-2（４・５月分）'!N308="","",'別紙様式2-2（４・５月分）'!N308)</f>
        <v/>
      </c>
      <c r="AW406" s="1305" t="str">
        <f>IF(SUM('別紙様式2-2（４・５月分）'!O308:O310)=0,"",SUM('別紙様式2-2（４・５月分）'!O308:O310))</f>
        <v/>
      </c>
      <c r="AX406" s="1473" t="str">
        <f>IFERROR(VLOOKUP(K406,【参考】数式用!$AH$2:$AI$34,2,FALSE),"")</f>
        <v/>
      </c>
      <c r="AY406" s="493"/>
      <c r="BD406" s="340"/>
      <c r="BE406" s="1303" t="str">
        <f>G406</f>
        <v/>
      </c>
      <c r="BF406" s="1303"/>
      <c r="BG406" s="1303"/>
    </row>
    <row r="407" spans="1:59" ht="15" customHeight="1">
      <c r="A407" s="1267"/>
      <c r="B407" s="1235"/>
      <c r="C407" s="1236"/>
      <c r="D407" s="1236"/>
      <c r="E407" s="1236"/>
      <c r="F407" s="1237"/>
      <c r="G407" s="1252"/>
      <c r="H407" s="1252"/>
      <c r="I407" s="1252"/>
      <c r="J407" s="1415"/>
      <c r="K407" s="1252"/>
      <c r="L407" s="1421"/>
      <c r="M407" s="1371" t="str">
        <f>IF('別紙様式2-2（４・５月分）'!P309="","",'別紙様式2-2（４・５月分）'!P309)</f>
        <v/>
      </c>
      <c r="N407" s="1392"/>
      <c r="O407" s="1398"/>
      <c r="P407" s="1399"/>
      <c r="Q407" s="1400"/>
      <c r="R407" s="1532"/>
      <c r="S407" s="1404"/>
      <c r="T407" s="1528"/>
      <c r="U407" s="1530"/>
      <c r="V407" s="1410"/>
      <c r="W407" s="1526"/>
      <c r="X407" s="1350"/>
      <c r="Y407" s="1526"/>
      <c r="Z407" s="1350"/>
      <c r="AA407" s="1526"/>
      <c r="AB407" s="1350"/>
      <c r="AC407" s="1526"/>
      <c r="AD407" s="1350"/>
      <c r="AE407" s="1350"/>
      <c r="AF407" s="1350"/>
      <c r="AG407" s="1352"/>
      <c r="AH407" s="1518"/>
      <c r="AI407" s="1520"/>
      <c r="AJ407" s="1522"/>
      <c r="AK407" s="1524"/>
      <c r="AL407" s="1513"/>
      <c r="AM407" s="1515"/>
      <c r="AN407" s="1334"/>
      <c r="AO407" s="1516"/>
      <c r="AP407" s="1334"/>
      <c r="AQ407" s="1482"/>
      <c r="AR407" s="1485"/>
      <c r="AS407" s="1483" t="str">
        <f t="shared" ref="AS407" si="680">IF(AU408="","",IF(OR(AA408="",AA408&lt;&gt;7,AC408="",AC408&lt;&gt;3),"！算定期間の終わりが令和７年３月になっていません。年度内の廃止予定等がなければ、算定対象月を令和７年３月にしてください。",""))</f>
        <v/>
      </c>
      <c r="AT407" s="577"/>
      <c r="AU407" s="1303"/>
      <c r="AV407" s="1304" t="str">
        <f>IF('別紙様式2-2（４・５月分）'!N309="","",'別紙様式2-2（４・５月分）'!N309)</f>
        <v/>
      </c>
      <c r="AW407" s="1305"/>
      <c r="AX407" s="1474"/>
      <c r="AY407" s="430"/>
      <c r="BD407" s="340"/>
      <c r="BE407" s="1303" t="str">
        <f>G406</f>
        <v/>
      </c>
      <c r="BF407" s="1303"/>
      <c r="BG407" s="1303"/>
    </row>
    <row r="408" spans="1:59" ht="15" customHeight="1">
      <c r="A408" s="1295"/>
      <c r="B408" s="1235"/>
      <c r="C408" s="1236"/>
      <c r="D408" s="1236"/>
      <c r="E408" s="1236"/>
      <c r="F408" s="1237"/>
      <c r="G408" s="1252"/>
      <c r="H408" s="1252"/>
      <c r="I408" s="1252"/>
      <c r="J408" s="1415"/>
      <c r="K408" s="1252"/>
      <c r="L408" s="1421"/>
      <c r="M408" s="1372"/>
      <c r="N408" s="1393"/>
      <c r="O408" s="1373" t="s">
        <v>2025</v>
      </c>
      <c r="P408" s="1425" t="str">
        <f>IFERROR(VLOOKUP('別紙様式2-2（４・５月分）'!AQ308,【参考】数式用!$AR$5:$AT$22,3,FALSE),"")</f>
        <v/>
      </c>
      <c r="Q408" s="1377" t="s">
        <v>2036</v>
      </c>
      <c r="R408" s="1508" t="str">
        <f>IFERROR(VLOOKUP(K406,【参考】数式用!$A$5:$AB$37,MATCH(P408,【参考】数式用!$B$4:$AB$4,0)+1,0),"")</f>
        <v/>
      </c>
      <c r="S408" s="1381" t="s">
        <v>2109</v>
      </c>
      <c r="T408" s="1510"/>
      <c r="U408" s="1506" t="str">
        <f>IFERROR(VLOOKUP(K406,【参考】数式用!$A$5:$AB$37,MATCH(T408,【参考】数式用!$B$4:$AB$4,0)+1,0),"")</f>
        <v/>
      </c>
      <c r="V408" s="1387" t="s">
        <v>15</v>
      </c>
      <c r="W408" s="1504"/>
      <c r="X408" s="1363" t="s">
        <v>10</v>
      </c>
      <c r="Y408" s="1504"/>
      <c r="Z408" s="1363" t="s">
        <v>38</v>
      </c>
      <c r="AA408" s="1504"/>
      <c r="AB408" s="1363" t="s">
        <v>10</v>
      </c>
      <c r="AC408" s="1504"/>
      <c r="AD408" s="1363" t="s">
        <v>2020</v>
      </c>
      <c r="AE408" s="1363" t="s">
        <v>20</v>
      </c>
      <c r="AF408" s="1363" t="str">
        <f>IF(W408&gt;=1,(AA408*12+AC408)-(W408*12+Y408)+1,"")</f>
        <v/>
      </c>
      <c r="AG408" s="1359" t="s">
        <v>33</v>
      </c>
      <c r="AH408" s="1365" t="str">
        <f t="shared" ref="AH408" si="681">IFERROR(ROUNDDOWN(ROUND(L406*U408,0),0)*AF408,"")</f>
        <v/>
      </c>
      <c r="AI408" s="1498" t="str">
        <f t="shared" ref="AI408" si="682">IFERROR(ROUNDDOWN(ROUND((L406*(U408-AW406)),0),0)*AF408,"")</f>
        <v/>
      </c>
      <c r="AJ408" s="1369" t="str">
        <f>IFERROR(ROUNDDOWN(ROUNDDOWN(ROUND(L406*VLOOKUP(K406,【参考】数式用!$A$5:$AB$27,MATCH("新加算Ⅳ",【参考】数式用!$B$4:$AB$4,0)+1,0),0),0)*AF408*0.5,0),"")</f>
        <v/>
      </c>
      <c r="AK408" s="1500"/>
      <c r="AL408" s="1502" t="str">
        <f>IFERROR(IF('別紙様式2-2（４・５月分）'!P408="ベア加算","", IF(OR(T408="新加算Ⅰ",T408="新加算Ⅱ",T408="新加算Ⅲ",T408="新加算Ⅳ"),ROUNDDOWN(ROUND(L406*VLOOKUP(K406,【参考】数式用!$A$5:$I$27,MATCH("ベア加算",【参考】数式用!$B$4:$I$4,0)+1,0),0),0)*AF408,"")),"")</f>
        <v/>
      </c>
      <c r="AM408" s="1494"/>
      <c r="AN408" s="1475"/>
      <c r="AO408" s="1496"/>
      <c r="AP408" s="1475"/>
      <c r="AQ408" s="1477"/>
      <c r="AR408" s="1479"/>
      <c r="AS408" s="1483"/>
      <c r="AT408" s="451"/>
      <c r="AU408" s="1303" t="str">
        <f>IF(AND(AA406&lt;&gt;7,AC406&lt;&gt;3),"V列に色付け","")</f>
        <v/>
      </c>
      <c r="AV408" s="1304"/>
      <c r="AW408" s="1305"/>
      <c r="AX408" s="574"/>
      <c r="AY408" s="1222" t="str">
        <f>IF(AL408&lt;&gt;"",IF(AM408="○","入力済","未入力"),"")</f>
        <v/>
      </c>
      <c r="AZ408" s="1222"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2" t="str">
        <f>IF(OR(T408="新加算Ⅴ（７）",T408="新加算Ⅴ（９）",T408="新加算Ⅴ（10）",T408="新加算Ⅴ（12）",T408="新加算Ⅴ（13）",T408="新加算Ⅴ（14）"),IF(OR(AO408="○",AO408="令和６年度中に満たす"),"入力済","未入力"),"")</f>
        <v/>
      </c>
      <c r="BB408" s="1222" t="str">
        <f>IF(OR(T408="新加算Ⅰ",T408="新加算Ⅱ",T408="新加算Ⅲ",T408="新加算Ⅴ（１）",T408="新加算Ⅴ（３）",T408="新加算Ⅴ（８）"),IF(OR(AP408="○",AP408="令和６年度中に満たす"),"入力済","未入力"),"")</f>
        <v/>
      </c>
      <c r="BC408" s="1472"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03" t="str">
        <f>IF(OR(T408="新加算Ⅰ",T408="新加算Ⅴ（１）",T408="新加算Ⅴ（２）",T408="新加算Ⅴ（５）",T408="新加算Ⅴ（７）",T408="新加算Ⅴ（10）"),IF(AR408="","未入力","入力済"),"")</f>
        <v/>
      </c>
      <c r="BE408" s="1303" t="str">
        <f>G406</f>
        <v/>
      </c>
      <c r="BF408" s="1303"/>
      <c r="BG408" s="1303"/>
    </row>
    <row r="409" spans="1:59" ht="30" customHeight="1" thickBot="1">
      <c r="A409" s="1268"/>
      <c r="B409" s="1411"/>
      <c r="C409" s="1412"/>
      <c r="D409" s="1412"/>
      <c r="E409" s="1412"/>
      <c r="F409" s="1413"/>
      <c r="G409" s="1253"/>
      <c r="H409" s="1253"/>
      <c r="I409" s="1253"/>
      <c r="J409" s="1416"/>
      <c r="K409" s="1253"/>
      <c r="L409" s="1422"/>
      <c r="M409" s="553" t="str">
        <f>IF('別紙様式2-2（４・５月分）'!P310="","",'別紙様式2-2（４・５月分）'!P310)</f>
        <v/>
      </c>
      <c r="N409" s="1394"/>
      <c r="O409" s="1374"/>
      <c r="P409" s="1426"/>
      <c r="Q409" s="1378"/>
      <c r="R409" s="1509"/>
      <c r="S409" s="1382"/>
      <c r="T409" s="1511"/>
      <c r="U409" s="1507"/>
      <c r="V409" s="1388"/>
      <c r="W409" s="1505"/>
      <c r="X409" s="1364"/>
      <c r="Y409" s="1505"/>
      <c r="Z409" s="1364"/>
      <c r="AA409" s="1505"/>
      <c r="AB409" s="1364"/>
      <c r="AC409" s="1505"/>
      <c r="AD409" s="1364"/>
      <c r="AE409" s="1364"/>
      <c r="AF409" s="1364"/>
      <c r="AG409" s="1360"/>
      <c r="AH409" s="1366"/>
      <c r="AI409" s="1499"/>
      <c r="AJ409" s="1370"/>
      <c r="AK409" s="1501"/>
      <c r="AL409" s="1503"/>
      <c r="AM409" s="1495"/>
      <c r="AN409" s="1476"/>
      <c r="AO409" s="1497"/>
      <c r="AP409" s="1476"/>
      <c r="AQ409" s="1478"/>
      <c r="AR409" s="1480"/>
      <c r="AS409" s="575"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1"/>
      <c r="AU409" s="1303"/>
      <c r="AV409" s="555" t="str">
        <f>IF('別紙様式2-2（４・５月分）'!N310="","",'別紙様式2-2（４・５月分）'!N310)</f>
        <v/>
      </c>
      <c r="AW409" s="1305"/>
      <c r="AX409" s="576"/>
      <c r="AY409" s="1222" t="str">
        <f>IF(OR(T409="新加算Ⅰ",T409="新加算Ⅱ",T409="新加算Ⅲ",T409="新加算Ⅳ",T409="新加算Ⅴ（１）",T409="新加算Ⅴ（２）",T409="新加算Ⅴ（３）",T409="新加算ⅠⅤ（４）",T409="新加算Ⅴ（５）",T409="新加算Ⅴ（６）",T409="新加算Ⅴ（８）",T409="新加算Ⅴ（11）"),IF(AI409="○","","未入力"),"")</f>
        <v/>
      </c>
      <c r="AZ409" s="1222" t="str">
        <f>IF(OR(U409="新加算Ⅰ",U409="新加算Ⅱ",U409="新加算Ⅲ",U409="新加算Ⅳ",U409="新加算Ⅴ（１）",U409="新加算Ⅴ（２）",U409="新加算Ⅴ（３）",U409="新加算ⅠⅤ（４）",U409="新加算Ⅴ（５）",U409="新加算Ⅴ（６）",U409="新加算Ⅴ（８）",U409="新加算Ⅴ（11）"),IF(AJ409="○","","未入力"),"")</f>
        <v/>
      </c>
      <c r="BA409" s="1222" t="str">
        <f>IF(OR(U409="新加算Ⅴ（７）",U409="新加算Ⅴ（９）",U409="新加算Ⅴ（10）",U409="新加算Ⅴ（12）",U409="新加算Ⅴ（13）",U409="新加算Ⅴ（14）"),IF(AK409="○","","未入力"),"")</f>
        <v/>
      </c>
      <c r="BB409" s="1222" t="str">
        <f>IF(OR(U409="新加算Ⅰ",U409="新加算Ⅱ",U409="新加算Ⅲ",U409="新加算Ⅴ（１）",U409="新加算Ⅴ（３）",U409="新加算Ⅴ（８）"),IF(AL409="○","","未入力"),"")</f>
        <v/>
      </c>
      <c r="BC409" s="1472"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03" t="str">
        <f>IF(AND(T409&lt;&gt;"（参考）令和７年度の移行予定",OR(U409="新加算Ⅰ",U409="新加算Ⅴ（１）",U409="新加算Ⅴ（２）",U409="新加算Ⅴ（５）",U409="新加算Ⅴ（７）",U409="新加算Ⅴ（10）")),IF(AN409="","未入力",IF(AN409="いずれも取得していない","要件を満たさない","")),"")</f>
        <v/>
      </c>
      <c r="BE409" s="1303" t="str">
        <f>G406</f>
        <v/>
      </c>
      <c r="BF409" s="1303"/>
      <c r="BG409" s="1303"/>
    </row>
    <row r="410" spans="1:59" ht="30" customHeight="1">
      <c r="A410" s="1293">
        <v>100</v>
      </c>
      <c r="B410" s="1232" t="str">
        <f>IF(基本情報入力シート!C153="","",基本情報入力シート!C153)</f>
        <v/>
      </c>
      <c r="C410" s="1233"/>
      <c r="D410" s="1233"/>
      <c r="E410" s="1233"/>
      <c r="F410" s="1234"/>
      <c r="G410" s="1251" t="str">
        <f>IF(基本情報入力シート!M153="","",基本情報入力シート!M153)</f>
        <v/>
      </c>
      <c r="H410" s="1251" t="str">
        <f>IF(基本情報入力シート!R153="","",基本情報入力シート!R153)</f>
        <v/>
      </c>
      <c r="I410" s="1251" t="str">
        <f>IF(基本情報入力シート!W153="","",基本情報入力シート!W153)</f>
        <v/>
      </c>
      <c r="J410" s="1414" t="str">
        <f>IF(基本情報入力シート!X153="","",基本情報入力シート!X153)</f>
        <v/>
      </c>
      <c r="K410" s="1251" t="str">
        <f>IF(基本情報入力シート!Y153="","",基本情報入力シート!Y153)</f>
        <v/>
      </c>
      <c r="L410" s="1427" t="str">
        <f>IF(基本情報入力シート!AB153="","",基本情報入力シート!AB153)</f>
        <v/>
      </c>
      <c r="M410" s="550" t="str">
        <f>IF('別紙様式2-2（４・５月分）'!P311="","",'別紙様式2-2（４・５月分）'!P311)</f>
        <v/>
      </c>
      <c r="N410" s="1391" t="str">
        <f>IF(SUM('別紙様式2-2（４・５月分）'!Q311:Q313)=0,"",SUM('別紙様式2-2（４・５月分）'!Q311:Q313))</f>
        <v/>
      </c>
      <c r="O410" s="1395" t="str">
        <f>IFERROR(VLOOKUP('別紙様式2-2（４・５月分）'!AQ311,【参考】数式用!$AR$5:$AS$22,2,FALSE),"")</f>
        <v/>
      </c>
      <c r="P410" s="1396"/>
      <c r="Q410" s="1397"/>
      <c r="R410" s="1531" t="str">
        <f>IFERROR(VLOOKUP(K410,【参考】数式用!$A$5:$AB$37,MATCH(O410,【参考】数式用!$B$4:$AB$4,0)+1,0),"")</f>
        <v/>
      </c>
      <c r="S410" s="1403" t="s">
        <v>2102</v>
      </c>
      <c r="T410" s="1527" t="str">
        <f>IF('別紙様式2-3（６月以降分）'!T410="","",'別紙様式2-3（６月以降分）'!T410)</f>
        <v/>
      </c>
      <c r="U410" s="1529" t="str">
        <f>IFERROR(VLOOKUP(K410,【参考】数式用!$A$5:$AB$37,MATCH(T410,【参考】数式用!$B$4:$AB$4,0)+1,0),"")</f>
        <v/>
      </c>
      <c r="V410" s="1409" t="s">
        <v>15</v>
      </c>
      <c r="W410" s="1525">
        <f>'別紙様式2-3（６月以降分）'!W410</f>
        <v>6</v>
      </c>
      <c r="X410" s="1349" t="s">
        <v>10</v>
      </c>
      <c r="Y410" s="1525">
        <f>'別紙様式2-3（６月以降分）'!Y410</f>
        <v>6</v>
      </c>
      <c r="Z410" s="1349" t="s">
        <v>38</v>
      </c>
      <c r="AA410" s="1525">
        <f>'別紙様式2-3（６月以降分）'!AA410</f>
        <v>7</v>
      </c>
      <c r="AB410" s="1349" t="s">
        <v>10</v>
      </c>
      <c r="AC410" s="1525">
        <f>'別紙様式2-3（６月以降分）'!AC410</f>
        <v>3</v>
      </c>
      <c r="AD410" s="1349" t="s">
        <v>2020</v>
      </c>
      <c r="AE410" s="1349" t="s">
        <v>20</v>
      </c>
      <c r="AF410" s="1349">
        <f>IF(W410&gt;=1,(AA410*12+AC410)-(W410*12+Y410)+1,"")</f>
        <v>10</v>
      </c>
      <c r="AG410" s="1351" t="s">
        <v>33</v>
      </c>
      <c r="AH410" s="1517" t="str">
        <f>'別紙様式2-3（６月以降分）'!AH410</f>
        <v/>
      </c>
      <c r="AI410" s="1519" t="str">
        <f>'別紙様式2-3（６月以降分）'!AI410</f>
        <v/>
      </c>
      <c r="AJ410" s="1521">
        <f>'別紙様式2-3（６月以降分）'!AJ410</f>
        <v>0</v>
      </c>
      <c r="AK410" s="1523" t="str">
        <f>IF('別紙様式2-3（６月以降分）'!AK410="","",'別紙様式2-3（６月以降分）'!AK410)</f>
        <v/>
      </c>
      <c r="AL410" s="1512">
        <f>'別紙様式2-3（６月以降分）'!AL410</f>
        <v>0</v>
      </c>
      <c r="AM410" s="1514" t="str">
        <f>IF('別紙様式2-3（６月以降分）'!AM410="","",'別紙様式2-3（６月以降分）'!AM410)</f>
        <v/>
      </c>
      <c r="AN410" s="1333" t="str">
        <f>IF('別紙様式2-3（６月以降分）'!AN410="","",'別紙様式2-3（６月以降分）'!AN410)</f>
        <v/>
      </c>
      <c r="AO410" s="1331" t="str">
        <f>IF('別紙様式2-3（６月以降分）'!AO410="","",'別紙様式2-3（６月以降分）'!AO410)</f>
        <v/>
      </c>
      <c r="AP410" s="1333" t="str">
        <f>IF('別紙様式2-3（６月以降分）'!AP410="","",'別紙様式2-3（６月以降分）'!AP410)</f>
        <v/>
      </c>
      <c r="AQ410" s="1481" t="str">
        <f>IF('別紙様式2-3（６月以降分）'!AQ410="","",'別紙様式2-3（６月以降分）'!AQ410)</f>
        <v/>
      </c>
      <c r="AR410" s="1484" t="str">
        <f>IF('別紙様式2-3（６月以降分）'!AR410="","",'別紙様式2-3（６月以降分）'!AR410)</f>
        <v/>
      </c>
      <c r="AS410" s="570" t="str">
        <f t="shared" ref="AS410" si="686">IF(AU412="","",IF(U412&lt;U410,"！加算の要件上は問題ありませんが、令和６年度当初の新加算の加算率と比較して、移行後の加算率が下がる計画になっています。",""))</f>
        <v/>
      </c>
      <c r="AT410" s="577"/>
      <c r="AU410" s="1301"/>
      <c r="AV410" s="555" t="str">
        <f>IF('別紙様式2-2（４・５月分）'!N311="","",'別紙様式2-2（４・５月分）'!N311)</f>
        <v/>
      </c>
      <c r="AW410" s="1305" t="str">
        <f>IF(SUM('別紙様式2-2（４・５月分）'!O311:O313)=0,"",SUM('別紙様式2-2（４・５月分）'!O311:O313))</f>
        <v/>
      </c>
      <c r="AX410" s="1473" t="str">
        <f>IFERROR(VLOOKUP(K410,【参考】数式用!$AH$2:$AI$34,2,FALSE),"")</f>
        <v/>
      </c>
      <c r="AY410" s="493"/>
      <c r="BD410" s="340"/>
      <c r="BE410" s="1303" t="str">
        <f>G410</f>
        <v/>
      </c>
      <c r="BF410" s="1303"/>
      <c r="BG410" s="1303"/>
    </row>
    <row r="411" spans="1:59" ht="15" customHeight="1">
      <c r="A411" s="1267"/>
      <c r="B411" s="1235"/>
      <c r="C411" s="1236"/>
      <c r="D411" s="1236"/>
      <c r="E411" s="1236"/>
      <c r="F411" s="1237"/>
      <c r="G411" s="1252"/>
      <c r="H411" s="1252"/>
      <c r="I411" s="1252"/>
      <c r="J411" s="1415"/>
      <c r="K411" s="1252"/>
      <c r="L411" s="1421"/>
      <c r="M411" s="1371" t="str">
        <f>IF('別紙様式2-2（４・５月分）'!P312="","",'別紙様式2-2（４・５月分）'!P312)</f>
        <v/>
      </c>
      <c r="N411" s="1392"/>
      <c r="O411" s="1398"/>
      <c r="P411" s="1399"/>
      <c r="Q411" s="1400"/>
      <c r="R411" s="1532"/>
      <c r="S411" s="1404"/>
      <c r="T411" s="1528"/>
      <c r="U411" s="1530"/>
      <c r="V411" s="1410"/>
      <c r="W411" s="1526"/>
      <c r="X411" s="1350"/>
      <c r="Y411" s="1526"/>
      <c r="Z411" s="1350"/>
      <c r="AA411" s="1526"/>
      <c r="AB411" s="1350"/>
      <c r="AC411" s="1526"/>
      <c r="AD411" s="1350"/>
      <c r="AE411" s="1350"/>
      <c r="AF411" s="1350"/>
      <c r="AG411" s="1352"/>
      <c r="AH411" s="1518"/>
      <c r="AI411" s="1520"/>
      <c r="AJ411" s="1522"/>
      <c r="AK411" s="1524"/>
      <c r="AL411" s="1513"/>
      <c r="AM411" s="1515"/>
      <c r="AN411" s="1334"/>
      <c r="AO411" s="1516"/>
      <c r="AP411" s="1334"/>
      <c r="AQ411" s="1482"/>
      <c r="AR411" s="1485"/>
      <c r="AS411" s="1483" t="str">
        <f t="shared" ref="AS411" si="687">IF(AU412="","",IF(OR(AA412="",AA412&lt;&gt;7,AC412="",AC412&lt;&gt;3),"！算定期間の終わりが令和７年３月になっていません。年度内の廃止予定等がなければ、算定対象月を令和７年３月にしてください。",""))</f>
        <v/>
      </c>
      <c r="AT411" s="577"/>
      <c r="AU411" s="1303"/>
      <c r="AV411" s="1304" t="str">
        <f>IF('別紙様式2-2（４・５月分）'!N312="","",'別紙様式2-2（４・５月分）'!N312)</f>
        <v/>
      </c>
      <c r="AW411" s="1305"/>
      <c r="AX411" s="1474"/>
      <c r="AY411" s="430"/>
      <c r="BD411" s="340"/>
      <c r="BE411" s="1303" t="str">
        <f>G410</f>
        <v/>
      </c>
      <c r="BF411" s="1303"/>
      <c r="BG411" s="1303"/>
    </row>
    <row r="412" spans="1:59" ht="15" customHeight="1">
      <c r="A412" s="1295"/>
      <c r="B412" s="1235"/>
      <c r="C412" s="1236"/>
      <c r="D412" s="1236"/>
      <c r="E412" s="1236"/>
      <c r="F412" s="1237"/>
      <c r="G412" s="1252"/>
      <c r="H412" s="1252"/>
      <c r="I412" s="1252"/>
      <c r="J412" s="1415"/>
      <c r="K412" s="1252"/>
      <c r="L412" s="1421"/>
      <c r="M412" s="1372"/>
      <c r="N412" s="1393"/>
      <c r="O412" s="1373" t="s">
        <v>2025</v>
      </c>
      <c r="P412" s="1425" t="str">
        <f>IFERROR(VLOOKUP('別紙様式2-2（４・５月分）'!AQ311,【参考】数式用!$AR$5:$AT$22,3,FALSE),"")</f>
        <v/>
      </c>
      <c r="Q412" s="1377" t="s">
        <v>2036</v>
      </c>
      <c r="R412" s="1508" t="str">
        <f>IFERROR(VLOOKUP(K410,【参考】数式用!$A$5:$AB$37,MATCH(P412,【参考】数式用!$B$4:$AB$4,0)+1,0),"")</f>
        <v/>
      </c>
      <c r="S412" s="1381" t="s">
        <v>2109</v>
      </c>
      <c r="T412" s="1510"/>
      <c r="U412" s="1506" t="str">
        <f>IFERROR(VLOOKUP(K410,【参考】数式用!$A$5:$AB$37,MATCH(T412,【参考】数式用!$B$4:$AB$4,0)+1,0),"")</f>
        <v/>
      </c>
      <c r="V412" s="1387" t="s">
        <v>15</v>
      </c>
      <c r="W412" s="1504"/>
      <c r="X412" s="1363" t="s">
        <v>10</v>
      </c>
      <c r="Y412" s="1504"/>
      <c r="Z412" s="1363" t="s">
        <v>38</v>
      </c>
      <c r="AA412" s="1504"/>
      <c r="AB412" s="1363" t="s">
        <v>10</v>
      </c>
      <c r="AC412" s="1504"/>
      <c r="AD412" s="1363" t="s">
        <v>2020</v>
      </c>
      <c r="AE412" s="1363" t="s">
        <v>20</v>
      </c>
      <c r="AF412" s="1363" t="str">
        <f>IF(W412&gt;=1,(AA412*12+AC412)-(W412*12+Y412)+1,"")</f>
        <v/>
      </c>
      <c r="AG412" s="1359" t="s">
        <v>33</v>
      </c>
      <c r="AH412" s="1365" t="str">
        <f t="shared" ref="AH412" si="688">IFERROR(ROUNDDOWN(ROUND(L410*U412,0),0)*AF412,"")</f>
        <v/>
      </c>
      <c r="AI412" s="1498" t="str">
        <f t="shared" ref="AI412" si="689">IFERROR(ROUNDDOWN(ROUND((L410*(U412-AW410)),0),0)*AF412,"")</f>
        <v/>
      </c>
      <c r="AJ412" s="1369" t="str">
        <f>IFERROR(ROUNDDOWN(ROUNDDOWN(ROUND(L410*VLOOKUP(K410,【参考】数式用!$A$5:$AB$27,MATCH("新加算Ⅳ",【参考】数式用!$B$4:$AB$4,0)+1,0),0),0)*AF412*0.5,0),"")</f>
        <v/>
      </c>
      <c r="AK412" s="1500"/>
      <c r="AL412" s="1502" t="str">
        <f>IFERROR(IF('別紙様式2-2（４・５月分）'!P412="ベア加算","", IF(OR(T412="新加算Ⅰ",T412="新加算Ⅱ",T412="新加算Ⅲ",T412="新加算Ⅳ"),ROUNDDOWN(ROUND(L410*VLOOKUP(K410,【参考】数式用!$A$5:$I$27,MATCH("ベア加算",【参考】数式用!$B$4:$I$4,0)+1,0),0),0)*AF412,"")),"")</f>
        <v/>
      </c>
      <c r="AM412" s="1494"/>
      <c r="AN412" s="1475"/>
      <c r="AO412" s="1496"/>
      <c r="AP412" s="1475"/>
      <c r="AQ412" s="1477"/>
      <c r="AR412" s="1479"/>
      <c r="AS412" s="1483"/>
      <c r="AT412" s="451"/>
      <c r="AU412" s="1303" t="str">
        <f>IF(AND(AA410&lt;&gt;7,AC410&lt;&gt;3),"V列に色付け","")</f>
        <v/>
      </c>
      <c r="AV412" s="1304"/>
      <c r="AW412" s="1305"/>
      <c r="AX412" s="574"/>
      <c r="AY412" s="1222" t="str">
        <f>IF(AL412&lt;&gt;"",IF(AM412="○","入力済","未入力"),"")</f>
        <v/>
      </c>
      <c r="AZ412" s="1222"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2" t="str">
        <f>IF(OR(T412="新加算Ⅴ（７）",T412="新加算Ⅴ（９）",T412="新加算Ⅴ（10）",T412="新加算Ⅴ（12）",T412="新加算Ⅴ（13）",T412="新加算Ⅴ（14）"),IF(OR(AO412="○",AO412="令和６年度中に満たす"),"入力済","未入力"),"")</f>
        <v/>
      </c>
      <c r="BB412" s="1222" t="str">
        <f>IF(OR(T412="新加算Ⅰ",T412="新加算Ⅱ",T412="新加算Ⅲ",T412="新加算Ⅴ（１）",T412="新加算Ⅴ（３）",T412="新加算Ⅴ（８）"),IF(OR(AP412="○",AP412="令和６年度中に満たす"),"入力済","未入力"),"")</f>
        <v/>
      </c>
      <c r="BC412" s="1472" t="str">
        <f>IF(OR(T412="新加算Ⅰ",T412="新加算Ⅱ",T412="新加算Ⅴ（１）",T412="新加算Ⅴ（２）",T412="新加算Ⅴ（３）",T412="新加算Ⅴ（４）",T412="新加算Ⅴ（５）",T412="新加算Ⅴ（６）",T412="新加算Ⅴ（７）",T412="新加算Ⅴ（９）",T412="新加算Ⅴ（10）",T412="新加算Ⅴ（12）"),IF(AQ412&lt;&gt;"",1,""),"")</f>
        <v/>
      </c>
      <c r="BD412" s="1303" t="str">
        <f>IF(OR(T412="新加算Ⅰ",T412="新加算Ⅴ（１）",T412="新加算Ⅴ（２）",T412="新加算Ⅴ（５）",T412="新加算Ⅴ（７）",T412="新加算Ⅴ（10）"),IF(AR412="","未入力","入力済"),"")</f>
        <v/>
      </c>
      <c r="BE412" s="1303" t="str">
        <f>G410</f>
        <v/>
      </c>
      <c r="BF412" s="1303"/>
      <c r="BG412" s="1303"/>
    </row>
    <row r="413" spans="1:59" ht="30" customHeight="1" thickBot="1">
      <c r="A413" s="1268"/>
      <c r="B413" s="1411"/>
      <c r="C413" s="1412"/>
      <c r="D413" s="1412"/>
      <c r="E413" s="1412"/>
      <c r="F413" s="1413"/>
      <c r="G413" s="1253"/>
      <c r="H413" s="1253"/>
      <c r="I413" s="1253"/>
      <c r="J413" s="1416"/>
      <c r="K413" s="1253"/>
      <c r="L413" s="1422"/>
      <c r="M413" s="553" t="str">
        <f>IF('別紙様式2-2（４・５月分）'!P313="","",'別紙様式2-2（４・５月分）'!P313)</f>
        <v/>
      </c>
      <c r="N413" s="1394"/>
      <c r="O413" s="1374"/>
      <c r="P413" s="1426"/>
      <c r="Q413" s="1378"/>
      <c r="R413" s="1509"/>
      <c r="S413" s="1382"/>
      <c r="T413" s="1511"/>
      <c r="U413" s="1507"/>
      <c r="V413" s="1388"/>
      <c r="W413" s="1505"/>
      <c r="X413" s="1364"/>
      <c r="Y413" s="1505"/>
      <c r="Z413" s="1364"/>
      <c r="AA413" s="1505"/>
      <c r="AB413" s="1364"/>
      <c r="AC413" s="1505"/>
      <c r="AD413" s="1364"/>
      <c r="AE413" s="1364"/>
      <c r="AF413" s="1364"/>
      <c r="AG413" s="1360"/>
      <c r="AH413" s="1366"/>
      <c r="AI413" s="1499"/>
      <c r="AJ413" s="1370"/>
      <c r="AK413" s="1501"/>
      <c r="AL413" s="1503"/>
      <c r="AM413" s="1495"/>
      <c r="AN413" s="1476"/>
      <c r="AO413" s="1497"/>
      <c r="AP413" s="1476"/>
      <c r="AQ413" s="1478"/>
      <c r="AR413" s="1480"/>
      <c r="AS413" s="575"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1"/>
      <c r="AU413" s="1303"/>
      <c r="AV413" s="555" t="str">
        <f>IF('別紙様式2-2（４・５月分）'!N313="","",'別紙様式2-2（４・５月分）'!N313)</f>
        <v/>
      </c>
      <c r="AW413" s="1305"/>
      <c r="AX413" s="576"/>
      <c r="AY413" s="1222" t="str">
        <f>IF(OR(T413="新加算Ⅰ",T413="新加算Ⅱ",T413="新加算Ⅲ",T413="新加算Ⅳ",T413="新加算Ⅴ（１）",T413="新加算Ⅴ（２）",T413="新加算Ⅴ（３）",T413="新加算ⅠⅤ（４）",T413="新加算Ⅴ（５）",T413="新加算Ⅴ（６）",T413="新加算Ⅴ（８）",T413="新加算Ⅴ（11）"),IF(AI413="○","","未入力"),"")</f>
        <v/>
      </c>
      <c r="AZ413" s="1222" t="str">
        <f>IF(OR(U413="新加算Ⅰ",U413="新加算Ⅱ",U413="新加算Ⅲ",U413="新加算Ⅳ",U413="新加算Ⅴ（１）",U413="新加算Ⅴ（２）",U413="新加算Ⅴ（３）",U413="新加算ⅠⅤ（４）",U413="新加算Ⅴ（５）",U413="新加算Ⅴ（６）",U413="新加算Ⅴ（８）",U413="新加算Ⅴ（11）"),IF(AJ413="○","","未入力"),"")</f>
        <v/>
      </c>
      <c r="BA413" s="1222" t="str">
        <f>IF(OR(U413="新加算Ⅴ（７）",U413="新加算Ⅴ（９）",U413="新加算Ⅴ（10）",U413="新加算Ⅴ（12）",U413="新加算Ⅴ（13）",U413="新加算Ⅴ（14）"),IF(AK413="○","","未入力"),"")</f>
        <v/>
      </c>
      <c r="BB413" s="1222" t="str">
        <f>IF(OR(U413="新加算Ⅰ",U413="新加算Ⅱ",U413="新加算Ⅲ",U413="新加算Ⅴ（１）",U413="新加算Ⅴ（３）",U413="新加算Ⅴ（８）"),IF(AL413="○","","未入力"),"")</f>
        <v/>
      </c>
      <c r="BC413" s="1472"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03" t="str">
        <f>IF(AND(T413&lt;&gt;"（参考）令和７年度の移行予定",OR(U413="新加算Ⅰ",U413="新加算Ⅴ（１）",U413="新加算Ⅴ（２）",U413="新加算Ⅴ（５）",U413="新加算Ⅴ（７）",U413="新加算Ⅴ（10）")),IF(AN413="","未入力",IF(AN413="いずれも取得していない","要件を満たさない","")),"")</f>
        <v/>
      </c>
      <c r="BE413" s="1303" t="str">
        <f>G410</f>
        <v/>
      </c>
      <c r="BF413" s="1303"/>
      <c r="BG413" s="1303"/>
    </row>
    <row r="414" spans="1:59">
      <c r="BC414"/>
      <c r="BD414"/>
      <c r="BE414"/>
      <c r="BF414"/>
      <c r="BG414"/>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Q16:AQ413">
    <cfRule type="expression" dxfId="2"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R14:AR413 AT18:AT413">
    <cfRule type="expression" dxfId="1" priority="68">
      <formula>AND(S14="区分変更後の算定予定",OR(T14="新加算Ⅰ",T14="新加算Ⅴ（１）",T14="新加算Ⅴ（２）",T14="新加算Ⅴ（５）",T14="新加算Ⅴ（７）",T14="新加算Ⅴ（10）"))</formula>
    </cfRule>
  </conditionalFormatting>
  <conditionalFormatting sqref="AS11">
    <cfRule type="expression" dxfId="0" priority="1">
      <formula>$AQ$11&lt;&gt;"×"</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52" t="s">
        <v>14</v>
      </c>
      <c r="B2" s="1573" t="s">
        <v>2258</v>
      </c>
      <c r="C2" s="1574"/>
      <c r="D2" s="1574"/>
      <c r="E2" s="1575"/>
      <c r="F2" s="1561" t="s">
        <v>2259</v>
      </c>
      <c r="G2" s="1562"/>
      <c r="H2" s="1562"/>
      <c r="I2" s="1552" t="s">
        <v>2260</v>
      </c>
      <c r="J2" s="1563"/>
      <c r="K2" s="1554" t="s">
        <v>2262</v>
      </c>
      <c r="L2" s="1555"/>
      <c r="M2" s="1555"/>
      <c r="N2" s="1555"/>
      <c r="O2" s="1555"/>
      <c r="P2" s="1555"/>
      <c r="Q2" s="1555"/>
      <c r="R2" s="1555"/>
      <c r="S2" s="1555"/>
      <c r="T2" s="1555"/>
      <c r="U2" s="1555"/>
      <c r="V2" s="1555"/>
      <c r="W2" s="1555"/>
      <c r="X2" s="1555"/>
      <c r="Y2" s="1555"/>
      <c r="Z2" s="1555"/>
      <c r="AA2" s="1555"/>
      <c r="AB2" s="1556"/>
      <c r="AC2" s="1589" t="s">
        <v>2261</v>
      </c>
      <c r="AD2" s="21"/>
      <c r="AE2" s="1587" t="s">
        <v>14</v>
      </c>
      <c r="AF2" s="1585" t="s">
        <v>2278</v>
      </c>
      <c r="AH2" s="660" t="s">
        <v>2230</v>
      </c>
      <c r="AI2" s="659" t="s">
        <v>2230</v>
      </c>
      <c r="AK2" s="40" t="s">
        <v>124</v>
      </c>
      <c r="AM2" s="56" t="s">
        <v>1959</v>
      </c>
      <c r="AO2" s="1566" t="s">
        <v>2258</v>
      </c>
      <c r="AP2" s="1555" t="s">
        <v>2259</v>
      </c>
      <c r="AQ2" s="1555" t="s">
        <v>2260</v>
      </c>
      <c r="AR2" s="1579" t="s">
        <v>159</v>
      </c>
      <c r="AS2" s="1582" t="s">
        <v>2280</v>
      </c>
      <c r="AT2" s="1556" t="s">
        <v>2034</v>
      </c>
    </row>
    <row r="3" spans="1:46" ht="26.25" customHeight="1" thickBot="1">
      <c r="A3" s="1553"/>
      <c r="B3" s="1576" t="s">
        <v>187</v>
      </c>
      <c r="C3" s="1577"/>
      <c r="D3" s="1577"/>
      <c r="E3" s="1578"/>
      <c r="F3" s="1560" t="s">
        <v>37</v>
      </c>
      <c r="G3" s="1560"/>
      <c r="H3" s="1560"/>
      <c r="I3" s="1564"/>
      <c r="J3" s="1565"/>
      <c r="K3" s="1557" t="s">
        <v>138</v>
      </c>
      <c r="L3" s="1558"/>
      <c r="M3" s="1558"/>
      <c r="N3" s="1558"/>
      <c r="O3" s="1558"/>
      <c r="P3" s="1558"/>
      <c r="Q3" s="1558"/>
      <c r="R3" s="1558"/>
      <c r="S3" s="1558"/>
      <c r="T3" s="1558"/>
      <c r="U3" s="1558"/>
      <c r="V3" s="1558"/>
      <c r="W3" s="1558"/>
      <c r="X3" s="1558"/>
      <c r="Y3" s="1558"/>
      <c r="Z3" s="1558"/>
      <c r="AA3" s="1558"/>
      <c r="AB3" s="1559"/>
      <c r="AC3" s="1590"/>
      <c r="AD3" s="21"/>
      <c r="AE3" s="1588"/>
      <c r="AF3" s="1586"/>
      <c r="AH3" s="610" t="s">
        <v>2231</v>
      </c>
      <c r="AI3" s="654" t="s">
        <v>2231</v>
      </c>
      <c r="AK3" s="41"/>
      <c r="AM3" s="48" t="s">
        <v>1960</v>
      </c>
      <c r="AO3" s="1567"/>
      <c r="AP3" s="1569"/>
      <c r="AQ3" s="1569"/>
      <c r="AR3" s="1580"/>
      <c r="AS3" s="1583"/>
      <c r="AT3" s="1571"/>
    </row>
    <row r="4" spans="1:46" ht="23.25" thickBot="1">
      <c r="A4" s="1553"/>
      <c r="B4" s="595" t="s">
        <v>134</v>
      </c>
      <c r="C4" s="596" t="s">
        <v>135</v>
      </c>
      <c r="D4" s="596" t="s">
        <v>136</v>
      </c>
      <c r="E4" s="587" t="s">
        <v>2063</v>
      </c>
      <c r="F4" s="597" t="s">
        <v>16</v>
      </c>
      <c r="G4" s="598" t="s">
        <v>17</v>
      </c>
      <c r="H4" s="598" t="s">
        <v>157</v>
      </c>
      <c r="I4" s="600" t="s">
        <v>133</v>
      </c>
      <c r="J4" s="599" t="s">
        <v>158</v>
      </c>
      <c r="K4" s="634" t="s">
        <v>139</v>
      </c>
      <c r="L4" s="601" t="s">
        <v>140</v>
      </c>
      <c r="M4" s="601" t="s">
        <v>141</v>
      </c>
      <c r="N4" s="601" t="s">
        <v>142</v>
      </c>
      <c r="O4" s="601" t="s">
        <v>143</v>
      </c>
      <c r="P4" s="601" t="s">
        <v>144</v>
      </c>
      <c r="Q4" s="601" t="s">
        <v>145</v>
      </c>
      <c r="R4" s="601" t="s">
        <v>146</v>
      </c>
      <c r="S4" s="601" t="s">
        <v>147</v>
      </c>
      <c r="T4" s="601" t="s">
        <v>148</v>
      </c>
      <c r="U4" s="601" t="s">
        <v>149</v>
      </c>
      <c r="V4" s="601" t="s">
        <v>150</v>
      </c>
      <c r="W4" s="601" t="s">
        <v>151</v>
      </c>
      <c r="X4" s="601" t="s">
        <v>152</v>
      </c>
      <c r="Y4" s="601" t="s">
        <v>153</v>
      </c>
      <c r="Z4" s="601" t="s">
        <v>154</v>
      </c>
      <c r="AA4" s="601" t="s">
        <v>155</v>
      </c>
      <c r="AB4" s="602" t="s">
        <v>156</v>
      </c>
      <c r="AC4" s="1591"/>
      <c r="AD4" s="21"/>
      <c r="AE4" s="1588"/>
      <c r="AF4" s="1586"/>
      <c r="AH4" s="610" t="s">
        <v>2281</v>
      </c>
      <c r="AI4" s="654" t="s">
        <v>2281</v>
      </c>
      <c r="AM4" s="48" t="s">
        <v>1961</v>
      </c>
      <c r="AO4" s="1568"/>
      <c r="AP4" s="1570"/>
      <c r="AQ4" s="1570"/>
      <c r="AR4" s="1581"/>
      <c r="AS4" s="1584"/>
      <c r="AT4" s="1572"/>
    </row>
    <row r="5" spans="1:46">
      <c r="A5" s="618" t="s">
        <v>2230</v>
      </c>
      <c r="B5" s="7">
        <v>0.27400000000000002</v>
      </c>
      <c r="C5" s="3">
        <v>0.2</v>
      </c>
      <c r="D5" s="3">
        <v>0.111</v>
      </c>
      <c r="E5" s="4">
        <v>0</v>
      </c>
      <c r="F5" s="6">
        <v>7.0000000000000007E-2</v>
      </c>
      <c r="G5" s="3">
        <v>5.5E-2</v>
      </c>
      <c r="H5" s="22">
        <v>0</v>
      </c>
      <c r="I5" s="7">
        <v>4.4999999999999998E-2</v>
      </c>
      <c r="J5" s="4">
        <v>0</v>
      </c>
      <c r="K5" s="592">
        <v>0.41700000000000004</v>
      </c>
      <c r="L5" s="593">
        <v>0.40200000000000002</v>
      </c>
      <c r="M5" s="593">
        <v>0.34700000000000003</v>
      </c>
      <c r="N5" s="593">
        <v>0.27300000000000002</v>
      </c>
      <c r="O5" s="593">
        <v>0.37200000000000005</v>
      </c>
      <c r="P5" s="593">
        <v>0.34300000000000003</v>
      </c>
      <c r="Q5" s="593">
        <v>0.35700000000000004</v>
      </c>
      <c r="R5" s="593">
        <v>0.32800000000000001</v>
      </c>
      <c r="S5" s="593">
        <v>0.29800000000000004</v>
      </c>
      <c r="T5" s="593">
        <v>0.28300000000000003</v>
      </c>
      <c r="U5" s="593">
        <v>0.254</v>
      </c>
      <c r="V5" s="593">
        <v>0.30200000000000005</v>
      </c>
      <c r="W5" s="593">
        <v>0.23900000000000002</v>
      </c>
      <c r="X5" s="593">
        <v>0.20899999999999999</v>
      </c>
      <c r="Y5" s="593">
        <v>0.22800000000000001</v>
      </c>
      <c r="Z5" s="593">
        <v>0.19400000000000001</v>
      </c>
      <c r="AA5" s="593">
        <v>0.184</v>
      </c>
      <c r="AB5" s="594">
        <v>0.13900000000000001</v>
      </c>
      <c r="AC5" s="630">
        <v>2.8000000000000001E-2</v>
      </c>
      <c r="AD5" s="21"/>
      <c r="AE5" s="610" t="s">
        <v>2230</v>
      </c>
      <c r="AF5" s="645" t="s">
        <v>2277</v>
      </c>
      <c r="AH5" s="610" t="s">
        <v>2282</v>
      </c>
      <c r="AI5" s="654"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18" t="s">
        <v>2231</v>
      </c>
      <c r="B6" s="7">
        <v>0.2</v>
      </c>
      <c r="C6" s="3">
        <v>0.14599999999999999</v>
      </c>
      <c r="D6" s="3">
        <v>8.1000000000000003E-2</v>
      </c>
      <c r="E6" s="4">
        <v>0</v>
      </c>
      <c r="F6" s="6">
        <v>7.0000000000000007E-2</v>
      </c>
      <c r="G6" s="3">
        <v>5.5E-2</v>
      </c>
      <c r="H6" s="22">
        <v>0</v>
      </c>
      <c r="I6" s="7">
        <v>4.4999999999999998E-2</v>
      </c>
      <c r="J6" s="4">
        <v>0</v>
      </c>
      <c r="K6" s="592">
        <v>0.34300000000000003</v>
      </c>
      <c r="L6" s="593">
        <v>0.32800000000000001</v>
      </c>
      <c r="M6" s="593">
        <v>0.27300000000000002</v>
      </c>
      <c r="N6" s="593">
        <v>0.219</v>
      </c>
      <c r="O6" s="593">
        <v>0.29800000000000004</v>
      </c>
      <c r="P6" s="593">
        <v>0.28900000000000003</v>
      </c>
      <c r="Q6" s="593">
        <v>0.28300000000000003</v>
      </c>
      <c r="R6" s="593">
        <v>0.27400000000000002</v>
      </c>
      <c r="S6" s="593">
        <v>0.24399999999999999</v>
      </c>
      <c r="T6" s="593">
        <v>0.22899999999999998</v>
      </c>
      <c r="U6" s="593">
        <v>0.224</v>
      </c>
      <c r="V6" s="593">
        <v>0.22800000000000001</v>
      </c>
      <c r="W6" s="593">
        <v>0.20899999999999999</v>
      </c>
      <c r="X6" s="593">
        <v>0.17900000000000002</v>
      </c>
      <c r="Y6" s="593">
        <v>0.17399999999999999</v>
      </c>
      <c r="Z6" s="593">
        <v>0.16400000000000001</v>
      </c>
      <c r="AA6" s="593">
        <v>0.154</v>
      </c>
      <c r="AB6" s="594">
        <v>0.109</v>
      </c>
      <c r="AC6" s="630">
        <v>2.8000000000000001E-2</v>
      </c>
      <c r="AD6" s="21"/>
      <c r="AE6" s="610" t="s">
        <v>2231</v>
      </c>
      <c r="AF6" s="645" t="s">
        <v>2275</v>
      </c>
      <c r="AH6" s="610" t="s">
        <v>2283</v>
      </c>
      <c r="AI6" s="654" t="s">
        <v>2283</v>
      </c>
      <c r="AK6" s="63" t="s">
        <v>2026</v>
      </c>
      <c r="AM6" s="55"/>
      <c r="AO6" s="25" t="s">
        <v>134</v>
      </c>
      <c r="AP6" s="26" t="s">
        <v>17</v>
      </c>
      <c r="AQ6" s="33" t="s">
        <v>133</v>
      </c>
      <c r="AR6" s="37" t="str">
        <f t="shared" si="0"/>
        <v>処遇加算Ⅰ特定加算Ⅱベア加算</v>
      </c>
      <c r="AS6" s="61" t="s">
        <v>140</v>
      </c>
      <c r="AT6" s="66" t="s">
        <v>2035</v>
      </c>
    </row>
    <row r="7" spans="1:46" ht="14.25" thickBot="1">
      <c r="A7" s="618" t="s">
        <v>2232</v>
      </c>
      <c r="B7" s="7">
        <v>0.27400000000000002</v>
      </c>
      <c r="C7" s="3">
        <v>0.2</v>
      </c>
      <c r="D7" s="3">
        <v>0.111</v>
      </c>
      <c r="E7" s="4">
        <v>0</v>
      </c>
      <c r="F7" s="6">
        <v>7.0000000000000007E-2</v>
      </c>
      <c r="G7" s="3">
        <v>5.5E-2</v>
      </c>
      <c r="H7" s="22">
        <v>0</v>
      </c>
      <c r="I7" s="7">
        <v>4.4999999999999998E-2</v>
      </c>
      <c r="J7" s="4">
        <v>0</v>
      </c>
      <c r="K7" s="592">
        <v>0.41700000000000004</v>
      </c>
      <c r="L7" s="593">
        <v>0.40200000000000002</v>
      </c>
      <c r="M7" s="593">
        <v>0.34700000000000003</v>
      </c>
      <c r="N7" s="593">
        <v>0.27300000000000002</v>
      </c>
      <c r="O7" s="593">
        <v>0.37200000000000005</v>
      </c>
      <c r="P7" s="593">
        <v>0.34300000000000003</v>
      </c>
      <c r="Q7" s="593">
        <v>0.35700000000000004</v>
      </c>
      <c r="R7" s="593">
        <v>0.32800000000000001</v>
      </c>
      <c r="S7" s="593">
        <v>0.29800000000000004</v>
      </c>
      <c r="T7" s="593">
        <v>0.28300000000000003</v>
      </c>
      <c r="U7" s="593">
        <v>0.254</v>
      </c>
      <c r="V7" s="593">
        <v>0.30200000000000005</v>
      </c>
      <c r="W7" s="593">
        <v>0.23900000000000002</v>
      </c>
      <c r="X7" s="593">
        <v>0.20899999999999999</v>
      </c>
      <c r="Y7" s="593">
        <v>0.22800000000000001</v>
      </c>
      <c r="Z7" s="593">
        <v>0.19400000000000001</v>
      </c>
      <c r="AA7" s="593">
        <v>0.184</v>
      </c>
      <c r="AB7" s="594">
        <v>0.13900000000000001</v>
      </c>
      <c r="AC7" s="630">
        <v>2.8000000000000001E-2</v>
      </c>
      <c r="AD7" s="21"/>
      <c r="AE7" s="610" t="s">
        <v>2281</v>
      </c>
      <c r="AF7" s="645" t="s">
        <v>2275</v>
      </c>
      <c r="AH7" s="610" t="s">
        <v>2284</v>
      </c>
      <c r="AI7" s="654" t="s">
        <v>2284</v>
      </c>
      <c r="AK7" s="41"/>
      <c r="AO7" s="25" t="s">
        <v>134</v>
      </c>
      <c r="AP7" s="26" t="s">
        <v>157</v>
      </c>
      <c r="AQ7" s="33" t="s">
        <v>133</v>
      </c>
      <c r="AR7" s="37" t="str">
        <f t="shared" si="0"/>
        <v>処遇加算Ⅰ特定加算なしベア加算</v>
      </c>
      <c r="AS7" s="61" t="s">
        <v>141</v>
      </c>
      <c r="AT7" s="66" t="s">
        <v>2035</v>
      </c>
    </row>
    <row r="8" spans="1:46">
      <c r="A8" s="618" t="s">
        <v>2233</v>
      </c>
      <c r="B8" s="7">
        <v>0.23899999999999999</v>
      </c>
      <c r="C8" s="3">
        <v>0.17499999999999999</v>
      </c>
      <c r="D8" s="3">
        <v>9.7000000000000003E-2</v>
      </c>
      <c r="E8" s="4">
        <v>0</v>
      </c>
      <c r="F8" s="6">
        <v>7.0000000000000007E-2</v>
      </c>
      <c r="G8" s="3">
        <v>5.5E-2</v>
      </c>
      <c r="H8" s="22">
        <v>0</v>
      </c>
      <c r="I8" s="7">
        <v>4.4999999999999998E-2</v>
      </c>
      <c r="J8" s="4">
        <v>0</v>
      </c>
      <c r="K8" s="592">
        <v>0.38200000000000001</v>
      </c>
      <c r="L8" s="593">
        <v>0.36699999999999999</v>
      </c>
      <c r="M8" s="593">
        <v>0.312</v>
      </c>
      <c r="N8" s="593">
        <v>0.24799999999999997</v>
      </c>
      <c r="O8" s="593">
        <v>0.33700000000000002</v>
      </c>
      <c r="P8" s="593">
        <v>0.318</v>
      </c>
      <c r="Q8" s="593">
        <v>0.32200000000000001</v>
      </c>
      <c r="R8" s="593">
        <v>0.30299999999999999</v>
      </c>
      <c r="S8" s="593">
        <v>0.27300000000000002</v>
      </c>
      <c r="T8" s="593">
        <v>0.25800000000000001</v>
      </c>
      <c r="U8" s="593">
        <v>0.24000000000000002</v>
      </c>
      <c r="V8" s="593">
        <v>0.26700000000000002</v>
      </c>
      <c r="W8" s="593">
        <v>0.22500000000000001</v>
      </c>
      <c r="X8" s="593">
        <v>0.19500000000000001</v>
      </c>
      <c r="Y8" s="593">
        <v>0.20299999999999999</v>
      </c>
      <c r="Z8" s="593">
        <v>0.18</v>
      </c>
      <c r="AA8" s="593">
        <v>0.17</v>
      </c>
      <c r="AB8" s="594">
        <v>0.125</v>
      </c>
      <c r="AC8" s="630">
        <v>2.8000000000000001E-2</v>
      </c>
      <c r="AD8" s="21"/>
      <c r="AE8" s="610" t="s">
        <v>2282</v>
      </c>
      <c r="AF8" s="645" t="s">
        <v>2275</v>
      </c>
      <c r="AH8" s="610" t="s">
        <v>2285</v>
      </c>
      <c r="AI8" s="654" t="s">
        <v>2285</v>
      </c>
      <c r="AO8" s="25" t="s">
        <v>135</v>
      </c>
      <c r="AP8" s="26" t="s">
        <v>157</v>
      </c>
      <c r="AQ8" s="33" t="s">
        <v>133</v>
      </c>
      <c r="AR8" s="37" t="str">
        <f t="shared" si="0"/>
        <v>処遇加算Ⅱ特定加算なしベア加算</v>
      </c>
      <c r="AS8" s="61" t="s">
        <v>142</v>
      </c>
      <c r="AT8" s="66" t="s">
        <v>2035</v>
      </c>
    </row>
    <row r="9" spans="1:46">
      <c r="A9" s="618" t="s">
        <v>2234</v>
      </c>
      <c r="B9" s="7">
        <v>8.8999999999999996E-2</v>
      </c>
      <c r="C9" s="3">
        <v>6.5000000000000002E-2</v>
      </c>
      <c r="D9" s="3">
        <v>3.5999999999999997E-2</v>
      </c>
      <c r="E9" s="4">
        <v>0</v>
      </c>
      <c r="F9" s="6">
        <v>6.0999999999999999E-2</v>
      </c>
      <c r="G9" s="591" t="s">
        <v>2257</v>
      </c>
      <c r="H9" s="22">
        <v>0</v>
      </c>
      <c r="I9" s="7">
        <v>4.4999999999999998E-2</v>
      </c>
      <c r="J9" s="4">
        <v>0</v>
      </c>
      <c r="K9" s="592">
        <v>0.223</v>
      </c>
      <c r="L9" s="591" t="s">
        <v>2257</v>
      </c>
      <c r="M9" s="593">
        <v>0.16200000000000001</v>
      </c>
      <c r="N9" s="593">
        <v>0.13800000000000001</v>
      </c>
      <c r="O9" s="593">
        <v>0.17799999999999999</v>
      </c>
      <c r="P9" s="593">
        <v>0.19899999999999998</v>
      </c>
      <c r="Q9" s="591" t="s">
        <v>2257</v>
      </c>
      <c r="R9" s="591" t="s">
        <v>2257</v>
      </c>
      <c r="S9" s="593">
        <v>0.154</v>
      </c>
      <c r="T9" s="591" t="s">
        <v>2257</v>
      </c>
      <c r="U9" s="593">
        <v>0.17</v>
      </c>
      <c r="V9" s="593">
        <v>0.11699999999999999</v>
      </c>
      <c r="W9" s="591" t="s">
        <v>2257</v>
      </c>
      <c r="X9" s="593">
        <v>0.125</v>
      </c>
      <c r="Y9" s="593">
        <v>9.2999999999999999E-2</v>
      </c>
      <c r="Z9" s="591" t="s">
        <v>2257</v>
      </c>
      <c r="AA9" s="593">
        <v>0.10899999999999999</v>
      </c>
      <c r="AB9" s="594">
        <v>6.4000000000000001E-2</v>
      </c>
      <c r="AC9" s="630">
        <v>2.8000000000000001E-2</v>
      </c>
      <c r="AD9" s="21"/>
      <c r="AE9" s="610" t="s">
        <v>2283</v>
      </c>
      <c r="AF9" s="645" t="s">
        <v>2314</v>
      </c>
      <c r="AH9" s="610" t="s">
        <v>2237</v>
      </c>
      <c r="AI9" s="654" t="s">
        <v>2237</v>
      </c>
      <c r="AO9" s="25" t="s">
        <v>134</v>
      </c>
      <c r="AP9" s="26" t="s">
        <v>16</v>
      </c>
      <c r="AQ9" s="33" t="s">
        <v>158</v>
      </c>
      <c r="AR9" s="37" t="str">
        <f t="shared" si="0"/>
        <v>処遇加算Ⅰ特定加算Ⅰベア加算なし</v>
      </c>
      <c r="AS9" s="61" t="s">
        <v>143</v>
      </c>
      <c r="AT9" s="66" t="s">
        <v>2035</v>
      </c>
    </row>
    <row r="10" spans="1:46">
      <c r="A10" s="618" t="s">
        <v>2235</v>
      </c>
      <c r="B10" s="7">
        <v>4.3999999999999997E-2</v>
      </c>
      <c r="C10" s="3">
        <v>3.2000000000000001E-2</v>
      </c>
      <c r="D10" s="3">
        <v>1.7999999999999999E-2</v>
      </c>
      <c r="E10" s="4">
        <v>0</v>
      </c>
      <c r="F10" s="6">
        <v>1.4E-2</v>
      </c>
      <c r="G10" s="3">
        <v>1.2999999999999999E-2</v>
      </c>
      <c r="H10" s="22">
        <v>0</v>
      </c>
      <c r="I10" s="7">
        <v>1.0999999999999999E-2</v>
      </c>
      <c r="J10" s="4">
        <v>0</v>
      </c>
      <c r="K10" s="592">
        <v>8.0999999999999989E-2</v>
      </c>
      <c r="L10" s="593">
        <v>7.9999999999999988E-2</v>
      </c>
      <c r="M10" s="593">
        <v>6.699999999999999E-2</v>
      </c>
      <c r="N10" s="593">
        <v>5.4999999999999993E-2</v>
      </c>
      <c r="O10" s="593">
        <v>6.9999999999999993E-2</v>
      </c>
      <c r="P10" s="593">
        <v>6.8999999999999992E-2</v>
      </c>
      <c r="Q10" s="593">
        <v>6.8999999999999992E-2</v>
      </c>
      <c r="R10" s="593">
        <v>6.7999999999999991E-2</v>
      </c>
      <c r="S10" s="593">
        <v>5.7999999999999996E-2</v>
      </c>
      <c r="T10" s="593">
        <v>5.6999999999999995E-2</v>
      </c>
      <c r="U10" s="593">
        <v>5.4999999999999993E-2</v>
      </c>
      <c r="V10" s="593">
        <v>5.5999999999999994E-2</v>
      </c>
      <c r="W10" s="593">
        <v>5.3999999999999992E-2</v>
      </c>
      <c r="X10" s="593">
        <v>4.3999999999999997E-2</v>
      </c>
      <c r="Y10" s="593">
        <v>4.3999999999999997E-2</v>
      </c>
      <c r="Z10" s="593">
        <v>4.2999999999999997E-2</v>
      </c>
      <c r="AA10" s="593">
        <v>4.0999999999999995E-2</v>
      </c>
      <c r="AB10" s="594">
        <v>0.03</v>
      </c>
      <c r="AC10" s="630">
        <v>1.2E-2</v>
      </c>
      <c r="AD10" s="21"/>
      <c r="AE10" s="610" t="s">
        <v>2284</v>
      </c>
      <c r="AF10" s="645" t="s">
        <v>2276</v>
      </c>
      <c r="AH10" s="610" t="s">
        <v>2286</v>
      </c>
      <c r="AI10" s="654" t="s">
        <v>2286</v>
      </c>
      <c r="AO10" s="25" t="s">
        <v>135</v>
      </c>
      <c r="AP10" s="26" t="s">
        <v>16</v>
      </c>
      <c r="AQ10" s="33" t="s">
        <v>133</v>
      </c>
      <c r="AR10" s="37" t="str">
        <f t="shared" si="0"/>
        <v>処遇加算Ⅱ特定加算Ⅰベア加算</v>
      </c>
      <c r="AS10" s="61" t="s">
        <v>139</v>
      </c>
      <c r="AT10" s="66" t="s">
        <v>144</v>
      </c>
    </row>
    <row r="11" spans="1:46">
      <c r="A11" s="618" t="s">
        <v>2236</v>
      </c>
      <c r="B11" s="7">
        <v>8.5999999999999993E-2</v>
      </c>
      <c r="C11" s="3">
        <v>6.3E-2</v>
      </c>
      <c r="D11" s="3">
        <v>3.5000000000000003E-2</v>
      </c>
      <c r="E11" s="4">
        <v>0</v>
      </c>
      <c r="F11" s="6">
        <v>2.1000000000000001E-2</v>
      </c>
      <c r="G11" s="591" t="s">
        <v>2257</v>
      </c>
      <c r="H11" s="22">
        <v>0</v>
      </c>
      <c r="I11" s="7">
        <v>2.8000000000000001E-2</v>
      </c>
      <c r="J11" s="4">
        <v>0</v>
      </c>
      <c r="K11" s="592">
        <v>0.159</v>
      </c>
      <c r="L11" s="591" t="s">
        <v>2257</v>
      </c>
      <c r="M11" s="593">
        <v>0.13799999999999998</v>
      </c>
      <c r="N11" s="593">
        <v>0.11499999999999999</v>
      </c>
      <c r="O11" s="593">
        <v>0.13100000000000001</v>
      </c>
      <c r="P11" s="593">
        <v>0.13600000000000001</v>
      </c>
      <c r="Q11" s="591" t="s">
        <v>2257</v>
      </c>
      <c r="R11" s="591" t="s">
        <v>2257</v>
      </c>
      <c r="S11" s="593">
        <v>0.10800000000000001</v>
      </c>
      <c r="T11" s="591" t="s">
        <v>2257</v>
      </c>
      <c r="U11" s="593">
        <v>0.10800000000000001</v>
      </c>
      <c r="V11" s="593">
        <v>0.10999999999999999</v>
      </c>
      <c r="W11" s="591" t="s">
        <v>2257</v>
      </c>
      <c r="X11" s="593">
        <v>8.0000000000000016E-2</v>
      </c>
      <c r="Y11" s="593">
        <v>8.6999999999999994E-2</v>
      </c>
      <c r="Z11" s="591" t="s">
        <v>2257</v>
      </c>
      <c r="AA11" s="593">
        <v>8.6999999999999994E-2</v>
      </c>
      <c r="AB11" s="594">
        <v>5.9000000000000004E-2</v>
      </c>
      <c r="AC11" s="630">
        <v>2.4E-2</v>
      </c>
      <c r="AD11" s="21"/>
      <c r="AE11" s="610" t="s">
        <v>2285</v>
      </c>
      <c r="AF11" s="645" t="s">
        <v>2314</v>
      </c>
      <c r="AH11" s="610" t="s">
        <v>2287</v>
      </c>
      <c r="AI11" s="654" t="s">
        <v>2293</v>
      </c>
      <c r="AO11" s="25" t="s">
        <v>134</v>
      </c>
      <c r="AP11" s="26" t="s">
        <v>17</v>
      </c>
      <c r="AQ11" s="33" t="s">
        <v>158</v>
      </c>
      <c r="AR11" s="37" t="str">
        <f t="shared" si="0"/>
        <v>処遇加算Ⅰ特定加算Ⅱベア加算なし</v>
      </c>
      <c r="AS11" s="61" t="s">
        <v>145</v>
      </c>
      <c r="AT11" s="66" t="s">
        <v>2035</v>
      </c>
    </row>
    <row r="12" spans="1:46">
      <c r="A12" s="618" t="s">
        <v>2237</v>
      </c>
      <c r="B12" s="7">
        <v>8.5999999999999993E-2</v>
      </c>
      <c r="C12" s="3">
        <v>6.3E-2</v>
      </c>
      <c r="D12" s="3">
        <v>3.5000000000000003E-2</v>
      </c>
      <c r="E12" s="4">
        <v>0</v>
      </c>
      <c r="F12" s="6">
        <v>2.1000000000000001E-2</v>
      </c>
      <c r="G12" s="591" t="s">
        <v>2257</v>
      </c>
      <c r="H12" s="22">
        <v>0</v>
      </c>
      <c r="I12" s="7">
        <v>2.8000000000000001E-2</v>
      </c>
      <c r="J12" s="4">
        <v>0</v>
      </c>
      <c r="K12" s="592">
        <v>0.159</v>
      </c>
      <c r="L12" s="591" t="s">
        <v>2257</v>
      </c>
      <c r="M12" s="593">
        <v>0.13799999999999998</v>
      </c>
      <c r="N12" s="593">
        <v>0.11499999999999999</v>
      </c>
      <c r="O12" s="593">
        <v>0.13100000000000001</v>
      </c>
      <c r="P12" s="593">
        <v>0.13600000000000001</v>
      </c>
      <c r="Q12" s="591" t="s">
        <v>2257</v>
      </c>
      <c r="R12" s="591" t="s">
        <v>2257</v>
      </c>
      <c r="S12" s="593">
        <v>0.10800000000000001</v>
      </c>
      <c r="T12" s="591" t="s">
        <v>2257</v>
      </c>
      <c r="U12" s="593">
        <v>0.10800000000000001</v>
      </c>
      <c r="V12" s="593">
        <v>0.10999999999999999</v>
      </c>
      <c r="W12" s="591" t="s">
        <v>2257</v>
      </c>
      <c r="X12" s="593">
        <v>8.0000000000000016E-2</v>
      </c>
      <c r="Y12" s="593">
        <v>8.6999999999999994E-2</v>
      </c>
      <c r="Z12" s="591" t="s">
        <v>2257</v>
      </c>
      <c r="AA12" s="593">
        <v>8.6999999999999994E-2</v>
      </c>
      <c r="AB12" s="594">
        <v>5.9000000000000004E-2</v>
      </c>
      <c r="AC12" s="630">
        <v>2.4E-2</v>
      </c>
      <c r="AD12" s="21"/>
      <c r="AE12" s="610" t="s">
        <v>2237</v>
      </c>
      <c r="AF12" s="645" t="s">
        <v>2314</v>
      </c>
      <c r="AH12" s="610" t="s">
        <v>2289</v>
      </c>
      <c r="AI12" s="654" t="s">
        <v>2294</v>
      </c>
      <c r="AO12" s="25" t="s">
        <v>135</v>
      </c>
      <c r="AP12" s="26" t="s">
        <v>17</v>
      </c>
      <c r="AQ12" s="33" t="s">
        <v>133</v>
      </c>
      <c r="AR12" s="37" t="str">
        <f t="shared" si="0"/>
        <v>処遇加算Ⅱ特定加算Ⅱベア加算</v>
      </c>
      <c r="AS12" s="61" t="s">
        <v>140</v>
      </c>
      <c r="AT12" s="66" t="s">
        <v>146</v>
      </c>
    </row>
    <row r="13" spans="1:46">
      <c r="A13" s="618" t="s">
        <v>2238</v>
      </c>
      <c r="B13" s="7">
        <v>6.4000000000000001E-2</v>
      </c>
      <c r="C13" s="3">
        <v>4.7E-2</v>
      </c>
      <c r="D13" s="3">
        <v>2.5999999999999999E-2</v>
      </c>
      <c r="E13" s="4">
        <v>0</v>
      </c>
      <c r="F13" s="6">
        <v>2.1000000000000001E-2</v>
      </c>
      <c r="G13" s="3">
        <v>1.9E-2</v>
      </c>
      <c r="H13" s="22">
        <v>0</v>
      </c>
      <c r="I13" s="7">
        <v>2.8000000000000001E-2</v>
      </c>
      <c r="J13" s="4">
        <v>0</v>
      </c>
      <c r="K13" s="592">
        <v>0.13700000000000001</v>
      </c>
      <c r="L13" s="593">
        <v>0.13500000000000001</v>
      </c>
      <c r="M13" s="593">
        <v>0.11599999999999999</v>
      </c>
      <c r="N13" s="593">
        <v>9.9000000000000005E-2</v>
      </c>
      <c r="O13" s="593">
        <v>0.10900000000000001</v>
      </c>
      <c r="P13" s="593">
        <v>0.12</v>
      </c>
      <c r="Q13" s="593">
        <v>0.10700000000000001</v>
      </c>
      <c r="R13" s="593">
        <v>0.11799999999999999</v>
      </c>
      <c r="S13" s="593">
        <v>9.1999999999999998E-2</v>
      </c>
      <c r="T13" s="593">
        <v>0.09</v>
      </c>
      <c r="U13" s="593">
        <v>9.9000000000000005E-2</v>
      </c>
      <c r="V13" s="593">
        <v>8.7999999999999995E-2</v>
      </c>
      <c r="W13" s="593">
        <v>9.7000000000000003E-2</v>
      </c>
      <c r="X13" s="593">
        <v>7.1000000000000008E-2</v>
      </c>
      <c r="Y13" s="593">
        <v>7.1000000000000008E-2</v>
      </c>
      <c r="Z13" s="593">
        <v>6.9000000000000006E-2</v>
      </c>
      <c r="AA13" s="593">
        <v>7.8E-2</v>
      </c>
      <c r="AB13" s="594">
        <v>0.05</v>
      </c>
      <c r="AC13" s="630">
        <v>2.4E-2</v>
      </c>
      <c r="AD13" s="21"/>
      <c r="AE13" s="610" t="s">
        <v>2286</v>
      </c>
      <c r="AF13" s="645" t="s">
        <v>2276</v>
      </c>
      <c r="AH13" s="610" t="s">
        <v>2241</v>
      </c>
      <c r="AI13" s="654" t="s">
        <v>2241</v>
      </c>
      <c r="AO13" s="25" t="s">
        <v>135</v>
      </c>
      <c r="AP13" s="26" t="s">
        <v>16</v>
      </c>
      <c r="AQ13" s="33" t="s">
        <v>158</v>
      </c>
      <c r="AR13" s="37" t="str">
        <f t="shared" si="0"/>
        <v>処遇加算Ⅱ特定加算Ⅰベア加算なし</v>
      </c>
      <c r="AS13" s="61" t="s">
        <v>147</v>
      </c>
      <c r="AT13" s="66" t="s">
        <v>2035</v>
      </c>
    </row>
    <row r="14" spans="1:46">
      <c r="A14" s="618" t="s">
        <v>2239</v>
      </c>
      <c r="B14" s="7">
        <v>6.7000000000000004E-2</v>
      </c>
      <c r="C14" s="3">
        <v>4.9000000000000002E-2</v>
      </c>
      <c r="D14" s="3">
        <v>2.7E-2</v>
      </c>
      <c r="E14" s="4">
        <v>0</v>
      </c>
      <c r="F14" s="6">
        <v>0.04</v>
      </c>
      <c r="G14" s="3">
        <v>3.5999999999999997E-2</v>
      </c>
      <c r="H14" s="22">
        <v>0</v>
      </c>
      <c r="I14" s="7">
        <v>1.7999999999999999E-2</v>
      </c>
      <c r="J14" s="4">
        <v>0</v>
      </c>
      <c r="K14" s="592">
        <v>0.13800000000000001</v>
      </c>
      <c r="L14" s="593">
        <v>0.13400000000000001</v>
      </c>
      <c r="M14" s="593">
        <v>9.8000000000000004E-2</v>
      </c>
      <c r="N14" s="593">
        <v>0.08</v>
      </c>
      <c r="O14" s="593">
        <v>0.12000000000000001</v>
      </c>
      <c r="P14" s="593">
        <v>0.12</v>
      </c>
      <c r="Q14" s="593">
        <v>0.11600000000000001</v>
      </c>
      <c r="R14" s="593">
        <v>0.11599999999999999</v>
      </c>
      <c r="S14" s="593">
        <v>0.10199999999999999</v>
      </c>
      <c r="T14" s="593">
        <v>9.799999999999999E-2</v>
      </c>
      <c r="U14" s="593">
        <v>9.8000000000000004E-2</v>
      </c>
      <c r="V14" s="593">
        <v>0.08</v>
      </c>
      <c r="W14" s="593">
        <v>9.4E-2</v>
      </c>
      <c r="X14" s="593">
        <v>0.08</v>
      </c>
      <c r="Y14" s="593">
        <v>6.2E-2</v>
      </c>
      <c r="Z14" s="593">
        <v>7.5999999999999998E-2</v>
      </c>
      <c r="AA14" s="593">
        <v>5.7999999999999996E-2</v>
      </c>
      <c r="AB14" s="594">
        <v>0.04</v>
      </c>
      <c r="AC14" s="630">
        <v>1.2999999999999999E-2</v>
      </c>
      <c r="AD14" s="21"/>
      <c r="AE14" s="610" t="s">
        <v>2287</v>
      </c>
      <c r="AF14" s="645" t="s">
        <v>2276</v>
      </c>
      <c r="AH14" s="610" t="s">
        <v>2290</v>
      </c>
      <c r="AI14" s="654" t="s">
        <v>2290</v>
      </c>
      <c r="AO14" s="25" t="s">
        <v>135</v>
      </c>
      <c r="AP14" s="26" t="s">
        <v>17</v>
      </c>
      <c r="AQ14" s="33" t="s">
        <v>158</v>
      </c>
      <c r="AR14" s="37" t="str">
        <f t="shared" si="0"/>
        <v>処遇加算Ⅱ特定加算Ⅱベア加算なし</v>
      </c>
      <c r="AS14" s="61" t="s">
        <v>148</v>
      </c>
      <c r="AT14" s="66" t="s">
        <v>2035</v>
      </c>
    </row>
    <row r="15" spans="1:46">
      <c r="A15" s="618" t="s">
        <v>2240</v>
      </c>
      <c r="B15" s="7">
        <v>6.7000000000000004E-2</v>
      </c>
      <c r="C15" s="3">
        <v>4.9000000000000002E-2</v>
      </c>
      <c r="D15" s="3">
        <v>2.7E-2</v>
      </c>
      <c r="E15" s="4">
        <v>0</v>
      </c>
      <c r="F15" s="6">
        <v>0.04</v>
      </c>
      <c r="G15" s="3">
        <v>3.5999999999999997E-2</v>
      </c>
      <c r="H15" s="22">
        <v>0</v>
      </c>
      <c r="I15" s="7">
        <v>1.7999999999999999E-2</v>
      </c>
      <c r="J15" s="4">
        <v>0</v>
      </c>
      <c r="K15" s="592">
        <v>0.13800000000000001</v>
      </c>
      <c r="L15" s="593">
        <v>0.13400000000000001</v>
      </c>
      <c r="M15" s="593">
        <v>9.8000000000000004E-2</v>
      </c>
      <c r="N15" s="593">
        <v>0.08</v>
      </c>
      <c r="O15" s="593">
        <v>0.12000000000000001</v>
      </c>
      <c r="P15" s="593">
        <v>0.12</v>
      </c>
      <c r="Q15" s="593">
        <v>0.11600000000000001</v>
      </c>
      <c r="R15" s="593">
        <v>0.11599999999999999</v>
      </c>
      <c r="S15" s="593">
        <v>0.10199999999999999</v>
      </c>
      <c r="T15" s="593">
        <v>9.799999999999999E-2</v>
      </c>
      <c r="U15" s="593">
        <v>9.8000000000000004E-2</v>
      </c>
      <c r="V15" s="593">
        <v>0.08</v>
      </c>
      <c r="W15" s="593">
        <v>9.4E-2</v>
      </c>
      <c r="X15" s="593">
        <v>0.08</v>
      </c>
      <c r="Y15" s="593">
        <v>6.2E-2</v>
      </c>
      <c r="Z15" s="593">
        <v>7.5999999999999998E-2</v>
      </c>
      <c r="AA15" s="593">
        <v>5.7999999999999996E-2</v>
      </c>
      <c r="AB15" s="594">
        <v>0.04</v>
      </c>
      <c r="AC15" s="630">
        <v>1.2999999999999999E-2</v>
      </c>
      <c r="AD15" s="21"/>
      <c r="AE15" s="610" t="s">
        <v>2289</v>
      </c>
      <c r="AF15" s="645" t="s">
        <v>2276</v>
      </c>
      <c r="AH15" s="610" t="s">
        <v>2291</v>
      </c>
      <c r="AI15" s="654" t="s">
        <v>2291</v>
      </c>
      <c r="AO15" s="25" t="s">
        <v>136</v>
      </c>
      <c r="AP15" s="26" t="s">
        <v>16</v>
      </c>
      <c r="AQ15" s="33" t="s">
        <v>133</v>
      </c>
      <c r="AR15" s="37" t="str">
        <f t="shared" si="0"/>
        <v>処遇加算Ⅲ特定加算Ⅰベア加算</v>
      </c>
      <c r="AS15" s="61" t="s">
        <v>139</v>
      </c>
      <c r="AT15" s="66" t="s">
        <v>149</v>
      </c>
    </row>
    <row r="16" spans="1:46">
      <c r="A16" s="618" t="s">
        <v>2241</v>
      </c>
      <c r="B16" s="7">
        <v>6.4000000000000001E-2</v>
      </c>
      <c r="C16" s="3">
        <v>4.7E-2</v>
      </c>
      <c r="D16" s="3">
        <v>2.5999999999999999E-2</v>
      </c>
      <c r="E16" s="4">
        <v>0</v>
      </c>
      <c r="F16" s="6">
        <v>1.7000000000000001E-2</v>
      </c>
      <c r="G16" s="3">
        <v>1.4999999999999999E-2</v>
      </c>
      <c r="H16" s="22">
        <v>0</v>
      </c>
      <c r="I16" s="7">
        <v>1.2999999999999999E-2</v>
      </c>
      <c r="J16" s="4">
        <v>0</v>
      </c>
      <c r="K16" s="592">
        <v>0.10299999999999999</v>
      </c>
      <c r="L16" s="593">
        <v>0.10099999999999999</v>
      </c>
      <c r="M16" s="593">
        <v>8.5999999999999993E-2</v>
      </c>
      <c r="N16" s="593">
        <v>6.8999999999999992E-2</v>
      </c>
      <c r="O16" s="591" t="s">
        <v>2257</v>
      </c>
      <c r="P16" s="591" t="s">
        <v>2257</v>
      </c>
      <c r="Q16" s="591" t="s">
        <v>2257</v>
      </c>
      <c r="R16" s="591" t="s">
        <v>2257</v>
      </c>
      <c r="S16" s="591" t="s">
        <v>2257</v>
      </c>
      <c r="T16" s="591" t="s">
        <v>2257</v>
      </c>
      <c r="U16" s="591" t="s">
        <v>2257</v>
      </c>
      <c r="V16" s="591" t="s">
        <v>2257</v>
      </c>
      <c r="W16" s="591" t="s">
        <v>2257</v>
      </c>
      <c r="X16" s="591" t="s">
        <v>2257</v>
      </c>
      <c r="Y16" s="591" t="s">
        <v>2257</v>
      </c>
      <c r="Z16" s="591" t="s">
        <v>2257</v>
      </c>
      <c r="AA16" s="591" t="s">
        <v>2257</v>
      </c>
      <c r="AB16" s="635" t="s">
        <v>2257</v>
      </c>
      <c r="AC16" s="630">
        <v>8.9999999999999993E-3</v>
      </c>
      <c r="AD16" s="21"/>
      <c r="AE16" s="610" t="s">
        <v>2241</v>
      </c>
      <c r="AF16" s="645" t="s">
        <v>2276</v>
      </c>
      <c r="AH16" s="610" t="s">
        <v>2292</v>
      </c>
      <c r="AI16" s="654" t="s">
        <v>2292</v>
      </c>
      <c r="AO16" s="25" t="s">
        <v>134</v>
      </c>
      <c r="AP16" s="26" t="s">
        <v>157</v>
      </c>
      <c r="AQ16" s="33" t="s">
        <v>158</v>
      </c>
      <c r="AR16" s="37" t="str">
        <f t="shared" si="0"/>
        <v>処遇加算Ⅰ特定加算なしベア加算なし</v>
      </c>
      <c r="AS16" s="61" t="s">
        <v>150</v>
      </c>
      <c r="AT16" s="66" t="s">
        <v>2035</v>
      </c>
    </row>
    <row r="17" spans="1:46">
      <c r="A17" s="618" t="s">
        <v>2242</v>
      </c>
      <c r="B17" s="7">
        <v>6.4000000000000001E-2</v>
      </c>
      <c r="C17" s="3">
        <v>4.7E-2</v>
      </c>
      <c r="D17" s="3">
        <v>2.5999999999999999E-2</v>
      </c>
      <c r="E17" s="4">
        <v>0</v>
      </c>
      <c r="F17" s="6">
        <v>1.7000000000000001E-2</v>
      </c>
      <c r="G17" s="3">
        <v>1.4999999999999999E-2</v>
      </c>
      <c r="H17" s="22">
        <v>0</v>
      </c>
      <c r="I17" s="7">
        <v>1.2999999999999999E-2</v>
      </c>
      <c r="J17" s="4">
        <v>0</v>
      </c>
      <c r="K17" s="592">
        <v>0.10299999999999999</v>
      </c>
      <c r="L17" s="593">
        <v>0.10099999999999999</v>
      </c>
      <c r="M17" s="593">
        <v>8.5999999999999993E-2</v>
      </c>
      <c r="N17" s="593">
        <v>6.8999999999999992E-2</v>
      </c>
      <c r="O17" s="593">
        <v>0.09</v>
      </c>
      <c r="P17" s="593">
        <v>8.5999999999999993E-2</v>
      </c>
      <c r="Q17" s="593">
        <v>8.7999999999999995E-2</v>
      </c>
      <c r="R17" s="593">
        <v>8.3999999999999991E-2</v>
      </c>
      <c r="S17" s="593">
        <v>7.2999999999999995E-2</v>
      </c>
      <c r="T17" s="593">
        <v>7.0999999999999994E-2</v>
      </c>
      <c r="U17" s="593">
        <v>6.4999999999999988E-2</v>
      </c>
      <c r="V17" s="593">
        <v>7.2999999999999995E-2</v>
      </c>
      <c r="W17" s="593">
        <v>6.2999999999999987E-2</v>
      </c>
      <c r="X17" s="593">
        <v>5.1999999999999998E-2</v>
      </c>
      <c r="Y17" s="593">
        <v>5.6000000000000001E-2</v>
      </c>
      <c r="Z17" s="593">
        <v>4.9999999999999996E-2</v>
      </c>
      <c r="AA17" s="593">
        <v>4.8000000000000001E-2</v>
      </c>
      <c r="AB17" s="594">
        <v>3.4999999999999996E-2</v>
      </c>
      <c r="AC17" s="630">
        <v>8.9999999999999993E-3</v>
      </c>
      <c r="AD17" s="21"/>
      <c r="AE17" s="610" t="s">
        <v>2290</v>
      </c>
      <c r="AF17" s="645" t="s">
        <v>2276</v>
      </c>
      <c r="AH17" s="610" t="s">
        <v>2245</v>
      </c>
      <c r="AI17" s="654" t="s">
        <v>2245</v>
      </c>
      <c r="AO17" s="25" t="s">
        <v>136</v>
      </c>
      <c r="AP17" s="26" t="s">
        <v>17</v>
      </c>
      <c r="AQ17" s="33" t="s">
        <v>133</v>
      </c>
      <c r="AR17" s="37" t="str">
        <f t="shared" si="0"/>
        <v>処遇加算Ⅲ特定加算Ⅱベア加算</v>
      </c>
      <c r="AS17" s="61" t="s">
        <v>140</v>
      </c>
      <c r="AT17" s="66" t="s">
        <v>151</v>
      </c>
    </row>
    <row r="18" spans="1:46">
      <c r="A18" s="618" t="s">
        <v>2243</v>
      </c>
      <c r="B18" s="7">
        <v>5.7000000000000002E-2</v>
      </c>
      <c r="C18" s="3">
        <v>4.1000000000000002E-2</v>
      </c>
      <c r="D18" s="3">
        <v>2.3E-2</v>
      </c>
      <c r="E18" s="4">
        <v>0</v>
      </c>
      <c r="F18" s="6">
        <v>1.7000000000000001E-2</v>
      </c>
      <c r="G18" s="3">
        <v>1.4999999999999999E-2</v>
      </c>
      <c r="H18" s="22">
        <v>0</v>
      </c>
      <c r="I18" s="7">
        <v>1.2999999999999999E-2</v>
      </c>
      <c r="J18" s="4">
        <v>0</v>
      </c>
      <c r="K18" s="592">
        <v>9.6000000000000002E-2</v>
      </c>
      <c r="L18" s="593">
        <v>9.4E-2</v>
      </c>
      <c r="M18" s="593">
        <v>7.9000000000000001E-2</v>
      </c>
      <c r="N18" s="593">
        <v>6.3E-2</v>
      </c>
      <c r="O18" s="593">
        <v>8.3000000000000004E-2</v>
      </c>
      <c r="P18" s="593">
        <v>0.08</v>
      </c>
      <c r="Q18" s="593">
        <v>8.1000000000000003E-2</v>
      </c>
      <c r="R18" s="593">
        <v>7.8E-2</v>
      </c>
      <c r="S18" s="593">
        <v>6.7000000000000004E-2</v>
      </c>
      <c r="T18" s="593">
        <v>6.5000000000000002E-2</v>
      </c>
      <c r="U18" s="593">
        <v>6.2E-2</v>
      </c>
      <c r="V18" s="593">
        <v>6.6000000000000003E-2</v>
      </c>
      <c r="W18" s="593">
        <v>0.06</v>
      </c>
      <c r="X18" s="593">
        <v>4.9000000000000002E-2</v>
      </c>
      <c r="Y18" s="593">
        <v>0.05</v>
      </c>
      <c r="Z18" s="593">
        <v>4.7E-2</v>
      </c>
      <c r="AA18" s="593">
        <v>4.4999999999999998E-2</v>
      </c>
      <c r="AB18" s="594">
        <v>3.2000000000000001E-2</v>
      </c>
      <c r="AC18" s="630">
        <v>8.9999999999999993E-3</v>
      </c>
      <c r="AD18" s="21"/>
      <c r="AE18" s="610" t="s">
        <v>2291</v>
      </c>
      <c r="AF18" s="645" t="s">
        <v>2276</v>
      </c>
      <c r="AH18" s="610" t="s">
        <v>2246</v>
      </c>
      <c r="AI18" s="654" t="s">
        <v>2246</v>
      </c>
      <c r="AO18" s="25" t="s">
        <v>136</v>
      </c>
      <c r="AP18" s="26" t="s">
        <v>16</v>
      </c>
      <c r="AQ18" s="33" t="s">
        <v>158</v>
      </c>
      <c r="AR18" s="37" t="str">
        <f t="shared" si="0"/>
        <v>処遇加算Ⅲ特定加算Ⅰベア加算なし</v>
      </c>
      <c r="AS18" s="61" t="s">
        <v>152</v>
      </c>
      <c r="AT18" s="66" t="s">
        <v>2035</v>
      </c>
    </row>
    <row r="19" spans="1:46">
      <c r="A19" s="618" t="s">
        <v>2244</v>
      </c>
      <c r="B19" s="7">
        <v>5.3999999999999999E-2</v>
      </c>
      <c r="C19" s="3">
        <v>0.04</v>
      </c>
      <c r="D19" s="3">
        <v>2.1999999999999999E-2</v>
      </c>
      <c r="E19" s="4">
        <v>0</v>
      </c>
      <c r="F19" s="6">
        <v>1.7000000000000001E-2</v>
      </c>
      <c r="G19" s="3">
        <v>1.4999999999999999E-2</v>
      </c>
      <c r="H19" s="22">
        <v>0</v>
      </c>
      <c r="I19" s="7">
        <v>1.2999999999999999E-2</v>
      </c>
      <c r="J19" s="4">
        <v>0</v>
      </c>
      <c r="K19" s="592">
        <v>9.2999999999999999E-2</v>
      </c>
      <c r="L19" s="593">
        <v>9.0999999999999998E-2</v>
      </c>
      <c r="M19" s="593">
        <v>7.5999999999999998E-2</v>
      </c>
      <c r="N19" s="593">
        <v>6.2E-2</v>
      </c>
      <c r="O19" s="593">
        <v>0.08</v>
      </c>
      <c r="P19" s="593">
        <v>7.9000000000000001E-2</v>
      </c>
      <c r="Q19" s="593">
        <v>7.8E-2</v>
      </c>
      <c r="R19" s="593">
        <v>7.6999999999999999E-2</v>
      </c>
      <c r="S19" s="593">
        <v>6.6000000000000003E-2</v>
      </c>
      <c r="T19" s="593">
        <v>6.4000000000000001E-2</v>
      </c>
      <c r="U19" s="593">
        <v>6.0999999999999999E-2</v>
      </c>
      <c r="V19" s="593">
        <v>6.3E-2</v>
      </c>
      <c r="W19" s="593">
        <v>5.8999999999999997E-2</v>
      </c>
      <c r="X19" s="593">
        <v>4.8000000000000001E-2</v>
      </c>
      <c r="Y19" s="593">
        <v>4.9000000000000002E-2</v>
      </c>
      <c r="Z19" s="593">
        <v>4.5999999999999999E-2</v>
      </c>
      <c r="AA19" s="593">
        <v>4.3999999999999997E-2</v>
      </c>
      <c r="AB19" s="594">
        <v>3.1E-2</v>
      </c>
      <c r="AC19" s="630">
        <v>8.9999999999999993E-3</v>
      </c>
      <c r="AD19" s="21"/>
      <c r="AE19" s="610" t="s">
        <v>2292</v>
      </c>
      <c r="AF19" s="645" t="s">
        <v>2276</v>
      </c>
      <c r="AH19" s="610" t="s">
        <v>2247</v>
      </c>
      <c r="AI19" s="654" t="s">
        <v>2295</v>
      </c>
      <c r="AO19" s="25" t="s">
        <v>135</v>
      </c>
      <c r="AP19" s="26" t="s">
        <v>157</v>
      </c>
      <c r="AQ19" s="33" t="s">
        <v>158</v>
      </c>
      <c r="AR19" s="37" t="str">
        <f t="shared" si="0"/>
        <v>処遇加算Ⅱ特定加算なしベア加算なし</v>
      </c>
      <c r="AS19" s="61" t="s">
        <v>153</v>
      </c>
      <c r="AT19" s="66" t="s">
        <v>2035</v>
      </c>
    </row>
    <row r="20" spans="1:46">
      <c r="A20" s="618" t="s">
        <v>2245</v>
      </c>
      <c r="B20" s="7">
        <v>6.4000000000000001E-2</v>
      </c>
      <c r="C20" s="3">
        <v>4.7E-2</v>
      </c>
      <c r="D20" s="3">
        <v>2.5999999999999999E-2</v>
      </c>
      <c r="E20" s="4">
        <v>0</v>
      </c>
      <c r="F20" s="6">
        <v>1.7000000000000001E-2</v>
      </c>
      <c r="G20" s="591" t="s">
        <v>2257</v>
      </c>
      <c r="H20" s="22">
        <v>0</v>
      </c>
      <c r="I20" s="7">
        <v>1.2999999999999999E-2</v>
      </c>
      <c r="J20" s="4">
        <v>0</v>
      </c>
      <c r="K20" s="592">
        <v>0.10299999999999999</v>
      </c>
      <c r="L20" s="591" t="s">
        <v>2257</v>
      </c>
      <c r="M20" s="593">
        <v>8.5999999999999993E-2</v>
      </c>
      <c r="N20" s="593">
        <v>6.8999999999999992E-2</v>
      </c>
      <c r="O20" s="593">
        <v>0.09</v>
      </c>
      <c r="P20" s="593">
        <v>8.5999999999999993E-2</v>
      </c>
      <c r="Q20" s="591" t="s">
        <v>2257</v>
      </c>
      <c r="R20" s="591" t="s">
        <v>2257</v>
      </c>
      <c r="S20" s="593">
        <v>7.2999999999999995E-2</v>
      </c>
      <c r="T20" s="591" t="s">
        <v>2257</v>
      </c>
      <c r="U20" s="593">
        <v>6.4999999999999988E-2</v>
      </c>
      <c r="V20" s="593">
        <v>7.2999999999999995E-2</v>
      </c>
      <c r="W20" s="591" t="s">
        <v>2257</v>
      </c>
      <c r="X20" s="593">
        <v>5.1999999999999998E-2</v>
      </c>
      <c r="Y20" s="593">
        <v>5.6000000000000001E-2</v>
      </c>
      <c r="Z20" s="591" t="s">
        <v>2257</v>
      </c>
      <c r="AA20" s="593">
        <v>4.8000000000000001E-2</v>
      </c>
      <c r="AB20" s="594">
        <v>3.4999999999999996E-2</v>
      </c>
      <c r="AC20" s="630">
        <v>8.9999999999999993E-3</v>
      </c>
      <c r="AD20" s="21"/>
      <c r="AE20" s="610" t="s">
        <v>2245</v>
      </c>
      <c r="AF20" s="645" t="s">
        <v>2314</v>
      </c>
      <c r="AH20" s="610" t="s">
        <v>2248</v>
      </c>
      <c r="AI20" s="654" t="s">
        <v>2296</v>
      </c>
      <c r="AO20" s="25" t="s">
        <v>136</v>
      </c>
      <c r="AP20" s="26" t="s">
        <v>17</v>
      </c>
      <c r="AQ20" s="33" t="s">
        <v>158</v>
      </c>
      <c r="AR20" s="37" t="str">
        <f t="shared" si="0"/>
        <v>処遇加算Ⅲ特定加算Ⅱベア加算なし</v>
      </c>
      <c r="AS20" s="61" t="s">
        <v>154</v>
      </c>
      <c r="AT20" s="66" t="s">
        <v>2035</v>
      </c>
    </row>
    <row r="21" spans="1:46">
      <c r="A21" s="618" t="s">
        <v>2246</v>
      </c>
      <c r="B21" s="7">
        <v>6.4000000000000001E-2</v>
      </c>
      <c r="C21" s="3">
        <v>4.7E-2</v>
      </c>
      <c r="D21" s="3">
        <v>2.5999999999999999E-2</v>
      </c>
      <c r="E21" s="4">
        <v>0</v>
      </c>
      <c r="F21" s="6">
        <v>1.7000000000000001E-2</v>
      </c>
      <c r="G21" s="3">
        <v>1.4999999999999999E-2</v>
      </c>
      <c r="H21" s="22">
        <v>0</v>
      </c>
      <c r="I21" s="7">
        <v>1.2999999999999999E-2</v>
      </c>
      <c r="J21" s="4">
        <v>0</v>
      </c>
      <c r="K21" s="592">
        <v>0.10299999999999999</v>
      </c>
      <c r="L21" s="593">
        <v>0.10099999999999999</v>
      </c>
      <c r="M21" s="593">
        <v>8.5999999999999993E-2</v>
      </c>
      <c r="N21" s="593">
        <v>6.8999999999999992E-2</v>
      </c>
      <c r="O21" s="593">
        <v>0.09</v>
      </c>
      <c r="P21" s="593">
        <v>8.5999999999999993E-2</v>
      </c>
      <c r="Q21" s="593">
        <v>8.7999999999999995E-2</v>
      </c>
      <c r="R21" s="593">
        <v>8.3999999999999991E-2</v>
      </c>
      <c r="S21" s="593">
        <v>7.2999999999999995E-2</v>
      </c>
      <c r="T21" s="593">
        <v>7.0999999999999994E-2</v>
      </c>
      <c r="U21" s="593">
        <v>6.4999999999999988E-2</v>
      </c>
      <c r="V21" s="593">
        <v>7.2999999999999995E-2</v>
      </c>
      <c r="W21" s="593">
        <v>6.2999999999999987E-2</v>
      </c>
      <c r="X21" s="593">
        <v>5.1999999999999998E-2</v>
      </c>
      <c r="Y21" s="593">
        <v>5.6000000000000001E-2</v>
      </c>
      <c r="Z21" s="593">
        <v>4.9999999999999996E-2</v>
      </c>
      <c r="AA21" s="593">
        <v>4.8000000000000001E-2</v>
      </c>
      <c r="AB21" s="594">
        <v>3.4999999999999996E-2</v>
      </c>
      <c r="AC21" s="630">
        <v>8.9999999999999993E-3</v>
      </c>
      <c r="AD21" s="21"/>
      <c r="AE21" s="610" t="s">
        <v>2246</v>
      </c>
      <c r="AF21" s="645" t="s">
        <v>2276</v>
      </c>
      <c r="AH21" s="610" t="s">
        <v>2249</v>
      </c>
      <c r="AI21" s="654" t="s">
        <v>2297</v>
      </c>
      <c r="AO21" s="25" t="s">
        <v>136</v>
      </c>
      <c r="AP21" s="26" t="s">
        <v>157</v>
      </c>
      <c r="AQ21" s="33" t="s">
        <v>133</v>
      </c>
      <c r="AR21" s="37" t="str">
        <f t="shared" si="0"/>
        <v>処遇加算Ⅲ特定加算なしベア加算</v>
      </c>
      <c r="AS21" s="61" t="s">
        <v>142</v>
      </c>
      <c r="AT21" s="66" t="s">
        <v>155</v>
      </c>
    </row>
    <row r="22" spans="1:46" ht="14.25" thickBot="1">
      <c r="A22" s="618" t="s">
        <v>2247</v>
      </c>
      <c r="B22" s="7">
        <v>8.5999999999999993E-2</v>
      </c>
      <c r="C22" s="3">
        <v>6.3E-2</v>
      </c>
      <c r="D22" s="3">
        <v>3.5000000000000003E-2</v>
      </c>
      <c r="E22" s="4">
        <v>0</v>
      </c>
      <c r="F22" s="6">
        <v>1.9E-2</v>
      </c>
      <c r="G22" s="3">
        <v>1.6E-2</v>
      </c>
      <c r="H22" s="22">
        <v>0</v>
      </c>
      <c r="I22" s="7">
        <v>2.5999999999999999E-2</v>
      </c>
      <c r="J22" s="4">
        <v>0</v>
      </c>
      <c r="K22" s="592">
        <v>0.14700000000000002</v>
      </c>
      <c r="L22" s="593">
        <v>0.14400000000000002</v>
      </c>
      <c r="M22" s="593">
        <v>0.128</v>
      </c>
      <c r="N22" s="593">
        <v>0.105</v>
      </c>
      <c r="O22" s="593">
        <v>0.121</v>
      </c>
      <c r="P22" s="593">
        <v>0.124</v>
      </c>
      <c r="Q22" s="593">
        <v>0.11799999999999999</v>
      </c>
      <c r="R22" s="593">
        <v>0.121</v>
      </c>
      <c r="S22" s="593">
        <v>9.8000000000000004E-2</v>
      </c>
      <c r="T22" s="593">
        <v>9.5000000000000001E-2</v>
      </c>
      <c r="U22" s="593">
        <v>9.6000000000000002E-2</v>
      </c>
      <c r="V22" s="593">
        <v>0.10199999999999999</v>
      </c>
      <c r="W22" s="593">
        <v>9.2999999999999999E-2</v>
      </c>
      <c r="X22" s="593">
        <v>7.0000000000000007E-2</v>
      </c>
      <c r="Y22" s="593">
        <v>7.9000000000000001E-2</v>
      </c>
      <c r="Z22" s="593">
        <v>6.7000000000000004E-2</v>
      </c>
      <c r="AA22" s="593">
        <v>7.6999999999999999E-2</v>
      </c>
      <c r="AB22" s="594">
        <v>5.1000000000000004E-2</v>
      </c>
      <c r="AC22" s="630">
        <v>1.6E-2</v>
      </c>
      <c r="AD22" s="21"/>
      <c r="AE22" s="610" t="s">
        <v>2247</v>
      </c>
      <c r="AF22" s="646" t="s">
        <v>2276</v>
      </c>
      <c r="AH22" s="610" t="s">
        <v>2250</v>
      </c>
      <c r="AI22" s="654" t="s">
        <v>2250</v>
      </c>
      <c r="AO22" s="28" t="s">
        <v>136</v>
      </c>
      <c r="AP22" s="29" t="s">
        <v>157</v>
      </c>
      <c r="AQ22" s="34" t="s">
        <v>158</v>
      </c>
      <c r="AR22" s="38" t="str">
        <f t="shared" si="0"/>
        <v>処遇加算Ⅲ特定加算なしベア加算なし</v>
      </c>
      <c r="AS22" s="62" t="s">
        <v>156</v>
      </c>
      <c r="AT22" s="67" t="s">
        <v>2035</v>
      </c>
    </row>
    <row r="23" spans="1:46">
      <c r="A23" s="618" t="s">
        <v>2248</v>
      </c>
      <c r="B23" s="7">
        <v>8.5999999999999993E-2</v>
      </c>
      <c r="C23" s="3">
        <v>6.3E-2</v>
      </c>
      <c r="D23" s="3">
        <v>3.5000000000000003E-2</v>
      </c>
      <c r="E23" s="4">
        <v>0</v>
      </c>
      <c r="F23" s="6">
        <v>1.9E-2</v>
      </c>
      <c r="G23" s="3">
        <v>1.6E-2</v>
      </c>
      <c r="H23" s="22">
        <v>0</v>
      </c>
      <c r="I23" s="7">
        <v>2.5999999999999999E-2</v>
      </c>
      <c r="J23" s="4">
        <v>0</v>
      </c>
      <c r="K23" s="592">
        <v>0.14700000000000002</v>
      </c>
      <c r="L23" s="593">
        <v>0.14400000000000002</v>
      </c>
      <c r="M23" s="593">
        <v>0.128</v>
      </c>
      <c r="N23" s="593">
        <v>0.105</v>
      </c>
      <c r="O23" s="593">
        <v>0.121</v>
      </c>
      <c r="P23" s="593">
        <v>0.124</v>
      </c>
      <c r="Q23" s="593">
        <v>0.11799999999999999</v>
      </c>
      <c r="R23" s="593">
        <v>0.121</v>
      </c>
      <c r="S23" s="593">
        <v>9.8000000000000004E-2</v>
      </c>
      <c r="T23" s="593">
        <v>9.5000000000000001E-2</v>
      </c>
      <c r="U23" s="593">
        <v>9.6000000000000002E-2</v>
      </c>
      <c r="V23" s="593">
        <v>0.10199999999999999</v>
      </c>
      <c r="W23" s="593">
        <v>9.2999999999999999E-2</v>
      </c>
      <c r="X23" s="593">
        <v>7.0000000000000007E-2</v>
      </c>
      <c r="Y23" s="593">
        <v>7.9000000000000001E-2</v>
      </c>
      <c r="Z23" s="593">
        <v>6.7000000000000004E-2</v>
      </c>
      <c r="AA23" s="593">
        <v>7.6999999999999999E-2</v>
      </c>
      <c r="AB23" s="594">
        <v>5.1000000000000004E-2</v>
      </c>
      <c r="AC23" s="630">
        <v>1.6E-2</v>
      </c>
      <c r="AD23" s="21"/>
      <c r="AE23" s="610" t="s">
        <v>2248</v>
      </c>
      <c r="AF23" s="647" t="s">
        <v>2276</v>
      </c>
      <c r="AH23" s="643" t="s">
        <v>2251</v>
      </c>
      <c r="AI23" s="655" t="s">
        <v>2251</v>
      </c>
    </row>
    <row r="24" spans="1:46">
      <c r="A24" s="618" t="s">
        <v>2249</v>
      </c>
      <c r="B24" s="7">
        <v>0.15</v>
      </c>
      <c r="C24" s="3">
        <v>0.11</v>
      </c>
      <c r="D24" s="3">
        <v>6.0999999999999999E-2</v>
      </c>
      <c r="E24" s="4">
        <v>0</v>
      </c>
      <c r="F24" s="6">
        <v>1.9E-2</v>
      </c>
      <c r="G24" s="3">
        <v>1.6E-2</v>
      </c>
      <c r="H24" s="22">
        <v>0</v>
      </c>
      <c r="I24" s="7">
        <v>2.5999999999999999E-2</v>
      </c>
      <c r="J24" s="4">
        <v>0</v>
      </c>
      <c r="K24" s="592">
        <v>0.21099999999999997</v>
      </c>
      <c r="L24" s="593">
        <v>0.20799999999999996</v>
      </c>
      <c r="M24" s="593">
        <v>0.192</v>
      </c>
      <c r="N24" s="593">
        <v>0.15200000000000002</v>
      </c>
      <c r="O24" s="593">
        <v>0.185</v>
      </c>
      <c r="P24" s="593">
        <v>0.17099999999999999</v>
      </c>
      <c r="Q24" s="593">
        <v>0.182</v>
      </c>
      <c r="R24" s="593">
        <v>0.16799999999999998</v>
      </c>
      <c r="S24" s="593">
        <v>0.14500000000000002</v>
      </c>
      <c r="T24" s="593">
        <v>0.14200000000000002</v>
      </c>
      <c r="U24" s="593">
        <v>0.122</v>
      </c>
      <c r="V24" s="593">
        <v>0.16599999999999998</v>
      </c>
      <c r="W24" s="593">
        <v>0.11899999999999999</v>
      </c>
      <c r="X24" s="593">
        <v>9.6000000000000002E-2</v>
      </c>
      <c r="Y24" s="593">
        <v>0.126</v>
      </c>
      <c r="Z24" s="593">
        <v>9.2999999999999999E-2</v>
      </c>
      <c r="AA24" s="593">
        <v>0.10299999999999999</v>
      </c>
      <c r="AB24" s="594">
        <v>7.6999999999999999E-2</v>
      </c>
      <c r="AC24" s="630">
        <v>1.6E-2</v>
      </c>
      <c r="AD24" s="21"/>
      <c r="AE24" s="610" t="s">
        <v>2249</v>
      </c>
      <c r="AF24" s="642" t="s">
        <v>2276</v>
      </c>
      <c r="AH24" s="643" t="s">
        <v>2252</v>
      </c>
      <c r="AI24" s="655" t="s">
        <v>2252</v>
      </c>
    </row>
    <row r="25" spans="1:46">
      <c r="A25" s="618" t="s">
        <v>2250</v>
      </c>
      <c r="B25" s="7">
        <v>8.1000000000000003E-2</v>
      </c>
      <c r="C25" s="3">
        <v>5.8999999999999997E-2</v>
      </c>
      <c r="D25" s="3">
        <v>3.3000000000000002E-2</v>
      </c>
      <c r="E25" s="4">
        <v>0</v>
      </c>
      <c r="F25" s="6">
        <v>1.2999999999999999E-2</v>
      </c>
      <c r="G25" s="3">
        <v>0.01</v>
      </c>
      <c r="H25" s="22">
        <v>0</v>
      </c>
      <c r="I25" s="7">
        <v>0.02</v>
      </c>
      <c r="J25" s="4">
        <v>0</v>
      </c>
      <c r="K25" s="592">
        <v>0.13100000000000001</v>
      </c>
      <c r="L25" s="593">
        <v>0.128</v>
      </c>
      <c r="M25" s="593">
        <v>0.11800000000000001</v>
      </c>
      <c r="N25" s="593">
        <v>9.6000000000000002E-2</v>
      </c>
      <c r="O25" s="593">
        <v>0.111</v>
      </c>
      <c r="P25" s="593">
        <v>0.109</v>
      </c>
      <c r="Q25" s="593">
        <v>0.108</v>
      </c>
      <c r="R25" s="593">
        <v>0.106</v>
      </c>
      <c r="S25" s="593">
        <v>8.8999999999999996E-2</v>
      </c>
      <c r="T25" s="593">
        <v>8.5999999999999993E-2</v>
      </c>
      <c r="U25" s="593">
        <v>8.3000000000000004E-2</v>
      </c>
      <c r="V25" s="593">
        <v>9.8000000000000004E-2</v>
      </c>
      <c r="W25" s="593">
        <v>0.08</v>
      </c>
      <c r="X25" s="593">
        <v>6.3E-2</v>
      </c>
      <c r="Y25" s="593">
        <v>7.5999999999999998E-2</v>
      </c>
      <c r="Z25" s="593">
        <v>6.0000000000000005E-2</v>
      </c>
      <c r="AA25" s="593">
        <v>7.0000000000000007E-2</v>
      </c>
      <c r="AB25" s="594">
        <v>0.05</v>
      </c>
      <c r="AC25" s="630">
        <v>1.7000000000000001E-2</v>
      </c>
      <c r="AD25" s="21"/>
      <c r="AE25" s="610" t="s">
        <v>2301</v>
      </c>
      <c r="AF25" s="642" t="s">
        <v>2276</v>
      </c>
      <c r="AH25" s="643" t="s">
        <v>2253</v>
      </c>
      <c r="AI25" s="655" t="s">
        <v>2253</v>
      </c>
    </row>
    <row r="26" spans="1:46">
      <c r="A26" s="618" t="s">
        <v>2251</v>
      </c>
      <c r="B26" s="7">
        <v>0.126</v>
      </c>
      <c r="C26" s="3">
        <v>9.1999999999999998E-2</v>
      </c>
      <c r="D26" s="3">
        <v>5.0999999999999997E-2</v>
      </c>
      <c r="E26" s="4">
        <v>0</v>
      </c>
      <c r="F26" s="6">
        <v>1.2999999999999999E-2</v>
      </c>
      <c r="G26" s="3">
        <v>0.01</v>
      </c>
      <c r="H26" s="22">
        <v>0</v>
      </c>
      <c r="I26" s="7">
        <v>0.02</v>
      </c>
      <c r="J26" s="4">
        <v>0</v>
      </c>
      <c r="K26" s="592">
        <v>0.17599999999999999</v>
      </c>
      <c r="L26" s="593">
        <v>0.17299999999999999</v>
      </c>
      <c r="M26" s="593">
        <v>0.16299999999999998</v>
      </c>
      <c r="N26" s="593">
        <v>0.129</v>
      </c>
      <c r="O26" s="593">
        <v>0.15600000000000003</v>
      </c>
      <c r="P26" s="593">
        <v>0.14200000000000002</v>
      </c>
      <c r="Q26" s="593">
        <v>0.15300000000000002</v>
      </c>
      <c r="R26" s="593">
        <v>0.13900000000000001</v>
      </c>
      <c r="S26" s="593">
        <v>0.122</v>
      </c>
      <c r="T26" s="593">
        <v>0.11899999999999999</v>
      </c>
      <c r="U26" s="593">
        <v>0.10100000000000001</v>
      </c>
      <c r="V26" s="593">
        <v>0.14300000000000002</v>
      </c>
      <c r="W26" s="593">
        <v>9.8000000000000004E-2</v>
      </c>
      <c r="X26" s="593">
        <v>8.1000000000000003E-2</v>
      </c>
      <c r="Y26" s="593">
        <v>0.109</v>
      </c>
      <c r="Z26" s="593">
        <v>7.8E-2</v>
      </c>
      <c r="AA26" s="593">
        <v>8.7999999999999995E-2</v>
      </c>
      <c r="AB26" s="594">
        <v>6.8000000000000005E-2</v>
      </c>
      <c r="AC26" s="630">
        <v>1.7000000000000001E-2</v>
      </c>
      <c r="AD26" s="21"/>
      <c r="AE26" s="643" t="s">
        <v>2302</v>
      </c>
      <c r="AF26" s="642" t="s">
        <v>2276</v>
      </c>
      <c r="AH26" s="643" t="s">
        <v>2254</v>
      </c>
      <c r="AI26" s="655" t="s">
        <v>2254</v>
      </c>
    </row>
    <row r="27" spans="1:46">
      <c r="A27" s="618" t="s">
        <v>2252</v>
      </c>
      <c r="B27" s="7">
        <v>8.4000000000000005E-2</v>
      </c>
      <c r="C27" s="3">
        <v>6.0999999999999999E-2</v>
      </c>
      <c r="D27" s="3">
        <v>3.4000000000000002E-2</v>
      </c>
      <c r="E27" s="4">
        <v>0</v>
      </c>
      <c r="F27" s="6">
        <v>1.2999999999999999E-2</v>
      </c>
      <c r="G27" s="3">
        <v>0.01</v>
      </c>
      <c r="H27" s="22">
        <v>0</v>
      </c>
      <c r="I27" s="7">
        <v>0.02</v>
      </c>
      <c r="J27" s="4">
        <v>0</v>
      </c>
      <c r="K27" s="592">
        <v>0.13400000000000001</v>
      </c>
      <c r="L27" s="593">
        <v>0.13100000000000001</v>
      </c>
      <c r="M27" s="593">
        <v>0.12100000000000001</v>
      </c>
      <c r="N27" s="593">
        <v>9.8000000000000004E-2</v>
      </c>
      <c r="O27" s="593">
        <v>0.114</v>
      </c>
      <c r="P27" s="593">
        <v>0.111</v>
      </c>
      <c r="Q27" s="593">
        <v>0.111</v>
      </c>
      <c r="R27" s="593">
        <v>0.108</v>
      </c>
      <c r="S27" s="593">
        <v>9.0999999999999998E-2</v>
      </c>
      <c r="T27" s="593">
        <v>8.7999999999999995E-2</v>
      </c>
      <c r="U27" s="593">
        <v>8.4000000000000005E-2</v>
      </c>
      <c r="V27" s="593">
        <v>0.10100000000000001</v>
      </c>
      <c r="W27" s="593">
        <v>8.1000000000000003E-2</v>
      </c>
      <c r="X27" s="593">
        <v>6.4000000000000001E-2</v>
      </c>
      <c r="Y27" s="593">
        <v>7.8E-2</v>
      </c>
      <c r="Z27" s="593">
        <v>6.1000000000000006E-2</v>
      </c>
      <c r="AA27" s="593">
        <v>7.1000000000000008E-2</v>
      </c>
      <c r="AB27" s="594">
        <v>5.1000000000000004E-2</v>
      </c>
      <c r="AC27" s="630">
        <v>1.7000000000000001E-2</v>
      </c>
      <c r="AD27" s="21"/>
      <c r="AE27" s="643" t="s">
        <v>2303</v>
      </c>
      <c r="AF27" s="648" t="s">
        <v>2276</v>
      </c>
      <c r="AH27" s="643" t="s">
        <v>2255</v>
      </c>
      <c r="AI27" s="655" t="s">
        <v>2255</v>
      </c>
    </row>
    <row r="28" spans="1:46" ht="14.25" thickBot="1">
      <c r="A28" s="618" t="s">
        <v>2253</v>
      </c>
      <c r="B28" s="624">
        <v>8.1000000000000003E-2</v>
      </c>
      <c r="C28" s="603">
        <v>5.8999999999999997E-2</v>
      </c>
      <c r="D28" s="603">
        <v>3.3000000000000002E-2</v>
      </c>
      <c r="E28" s="4">
        <v>0</v>
      </c>
      <c r="F28" s="620">
        <v>1.0999999999999999E-2</v>
      </c>
      <c r="G28" s="591" t="s">
        <v>2257</v>
      </c>
      <c r="H28" s="22">
        <v>0</v>
      </c>
      <c r="I28" s="624">
        <v>0.02</v>
      </c>
      <c r="J28" s="4">
        <v>0</v>
      </c>
      <c r="K28" s="636">
        <v>0.129</v>
      </c>
      <c r="L28" s="591" t="s">
        <v>2257</v>
      </c>
      <c r="M28" s="604">
        <v>0.11800000000000001</v>
      </c>
      <c r="N28" s="604">
        <v>9.6000000000000002E-2</v>
      </c>
      <c r="O28" s="604">
        <v>0.109</v>
      </c>
      <c r="P28" s="604">
        <v>0.107</v>
      </c>
      <c r="Q28" s="591" t="s">
        <v>2257</v>
      </c>
      <c r="R28" s="591" t="s">
        <v>2257</v>
      </c>
      <c r="S28" s="604">
        <v>8.6999999999999994E-2</v>
      </c>
      <c r="T28" s="591" t="s">
        <v>2257</v>
      </c>
      <c r="U28" s="604">
        <v>8.1000000000000003E-2</v>
      </c>
      <c r="V28" s="604">
        <v>9.8000000000000004E-2</v>
      </c>
      <c r="W28" s="591" t="s">
        <v>2257</v>
      </c>
      <c r="X28" s="604">
        <v>6.0999999999999999E-2</v>
      </c>
      <c r="Y28" s="604">
        <v>7.5999999999999998E-2</v>
      </c>
      <c r="Z28" s="591" t="s">
        <v>2257</v>
      </c>
      <c r="AA28" s="604">
        <v>7.0000000000000007E-2</v>
      </c>
      <c r="AB28" s="611">
        <v>0.05</v>
      </c>
      <c r="AC28" s="630">
        <v>1.7000000000000001E-2</v>
      </c>
      <c r="AD28" s="21"/>
      <c r="AE28" s="643" t="s">
        <v>2304</v>
      </c>
      <c r="AF28" s="645" t="s">
        <v>2314</v>
      </c>
      <c r="AH28" s="644" t="s">
        <v>2256</v>
      </c>
      <c r="AI28" s="656" t="s">
        <v>2256</v>
      </c>
    </row>
    <row r="29" spans="1:46" ht="14.25" thickTop="1">
      <c r="A29" s="618" t="s">
        <v>2254</v>
      </c>
      <c r="B29" s="624">
        <v>8.1000000000000003E-2</v>
      </c>
      <c r="C29" s="603">
        <v>5.8999999999999997E-2</v>
      </c>
      <c r="D29" s="603">
        <v>3.3000000000000002E-2</v>
      </c>
      <c r="E29" s="4">
        <v>0</v>
      </c>
      <c r="F29" s="620">
        <v>1.0999999999999999E-2</v>
      </c>
      <c r="G29" s="591" t="s">
        <v>2257</v>
      </c>
      <c r="H29" s="22">
        <v>0</v>
      </c>
      <c r="I29" s="624">
        <v>0.02</v>
      </c>
      <c r="J29" s="4">
        <v>0</v>
      </c>
      <c r="K29" s="636">
        <v>0.129</v>
      </c>
      <c r="L29" s="591" t="s">
        <v>2257</v>
      </c>
      <c r="M29" s="604">
        <v>0.11800000000000001</v>
      </c>
      <c r="N29" s="604">
        <v>9.6000000000000002E-2</v>
      </c>
      <c r="O29" s="604">
        <v>0.109</v>
      </c>
      <c r="P29" s="604">
        <v>0.107</v>
      </c>
      <c r="Q29" s="591" t="s">
        <v>2257</v>
      </c>
      <c r="R29" s="591" t="s">
        <v>2257</v>
      </c>
      <c r="S29" s="604">
        <v>8.6999999999999994E-2</v>
      </c>
      <c r="T29" s="591" t="s">
        <v>2257</v>
      </c>
      <c r="U29" s="604">
        <v>8.1000000000000003E-2</v>
      </c>
      <c r="V29" s="604">
        <v>9.8000000000000004E-2</v>
      </c>
      <c r="W29" s="591" t="s">
        <v>2257</v>
      </c>
      <c r="X29" s="604">
        <v>6.0999999999999999E-2</v>
      </c>
      <c r="Y29" s="604">
        <v>7.5999999999999998E-2</v>
      </c>
      <c r="Z29" s="591" t="s">
        <v>2257</v>
      </c>
      <c r="AA29" s="604">
        <v>7.0000000000000007E-2</v>
      </c>
      <c r="AB29" s="611">
        <v>0.05</v>
      </c>
      <c r="AC29" s="630">
        <v>1.7000000000000001E-2</v>
      </c>
      <c r="AD29" s="21"/>
      <c r="AE29" s="643" t="s">
        <v>2305</v>
      </c>
      <c r="AF29" s="645" t="s">
        <v>2314</v>
      </c>
      <c r="AH29" s="650" t="s">
        <v>2265</v>
      </c>
      <c r="AI29" s="657" t="s">
        <v>2308</v>
      </c>
    </row>
    <row r="30" spans="1:46" ht="13.5" customHeight="1">
      <c r="A30" s="618" t="s">
        <v>2255</v>
      </c>
      <c r="B30" s="624">
        <v>9.9000000000000005E-2</v>
      </c>
      <c r="C30" s="603">
        <v>7.1999999999999995E-2</v>
      </c>
      <c r="D30" s="603">
        <v>0.04</v>
      </c>
      <c r="E30" s="4">
        <v>0</v>
      </c>
      <c r="F30" s="620">
        <v>4.2999999999999997E-2</v>
      </c>
      <c r="G30" s="603">
        <v>3.9E-2</v>
      </c>
      <c r="H30" s="22">
        <v>0</v>
      </c>
      <c r="I30" s="624">
        <v>3.7999999999999999E-2</v>
      </c>
      <c r="J30" s="4">
        <v>0</v>
      </c>
      <c r="K30" s="636">
        <v>0.21100000000000002</v>
      </c>
      <c r="L30" s="604">
        <v>0.20700000000000002</v>
      </c>
      <c r="M30" s="604">
        <v>0.16800000000000001</v>
      </c>
      <c r="N30" s="604">
        <v>0.14099999999999999</v>
      </c>
      <c r="O30" s="604">
        <v>0.17300000000000001</v>
      </c>
      <c r="P30" s="604">
        <v>0.184</v>
      </c>
      <c r="Q30" s="604">
        <v>0.16900000000000001</v>
      </c>
      <c r="R30" s="604">
        <v>0.18</v>
      </c>
      <c r="S30" s="604">
        <v>0.14599999999999999</v>
      </c>
      <c r="T30" s="604">
        <v>0.14199999999999999</v>
      </c>
      <c r="U30" s="604">
        <v>0.152</v>
      </c>
      <c r="V30" s="604">
        <v>0.13</v>
      </c>
      <c r="W30" s="604">
        <v>0.14799999999999999</v>
      </c>
      <c r="X30" s="604">
        <v>0.11399999999999999</v>
      </c>
      <c r="Y30" s="604">
        <v>0.10299999999999999</v>
      </c>
      <c r="Z30" s="604">
        <v>0.11</v>
      </c>
      <c r="AA30" s="604">
        <v>0.109</v>
      </c>
      <c r="AB30" s="611">
        <v>7.1000000000000008E-2</v>
      </c>
      <c r="AC30" s="630">
        <v>3.1E-2</v>
      </c>
      <c r="AD30" s="21"/>
      <c r="AE30" s="643" t="s">
        <v>2306</v>
      </c>
      <c r="AF30" s="648" t="s">
        <v>2276</v>
      </c>
      <c r="AH30" s="643" t="s">
        <v>2271</v>
      </c>
      <c r="AI30" s="655" t="s">
        <v>2309</v>
      </c>
    </row>
    <row r="31" spans="1:46" ht="14.25" thickBot="1">
      <c r="A31" s="619" t="s">
        <v>2256</v>
      </c>
      <c r="B31" s="625">
        <v>7.9000000000000001E-2</v>
      </c>
      <c r="C31" s="608">
        <v>5.8000000000000003E-2</v>
      </c>
      <c r="D31" s="608">
        <v>3.2000000000000001E-2</v>
      </c>
      <c r="E31" s="626">
        <v>0</v>
      </c>
      <c r="F31" s="621">
        <v>4.2999999999999997E-2</v>
      </c>
      <c r="G31" s="608">
        <v>3.9E-2</v>
      </c>
      <c r="H31" s="629">
        <v>0</v>
      </c>
      <c r="I31" s="625">
        <v>3.7999999999999999E-2</v>
      </c>
      <c r="J31" s="626">
        <v>0</v>
      </c>
      <c r="K31" s="637">
        <v>0.191</v>
      </c>
      <c r="L31" s="609">
        <v>0.187</v>
      </c>
      <c r="M31" s="609">
        <v>0.14799999999999999</v>
      </c>
      <c r="N31" s="609">
        <v>0.127</v>
      </c>
      <c r="O31" s="609">
        <v>0.153</v>
      </c>
      <c r="P31" s="609">
        <v>0.17</v>
      </c>
      <c r="Q31" s="609">
        <v>0.14899999999999999</v>
      </c>
      <c r="R31" s="609">
        <v>0.16600000000000001</v>
      </c>
      <c r="S31" s="609">
        <v>0.13200000000000001</v>
      </c>
      <c r="T31" s="609">
        <v>0.128</v>
      </c>
      <c r="U31" s="609">
        <v>0.14399999999999999</v>
      </c>
      <c r="V31" s="609">
        <v>0.11</v>
      </c>
      <c r="W31" s="609">
        <v>0.14000000000000001</v>
      </c>
      <c r="X31" s="609">
        <v>0.106</v>
      </c>
      <c r="Y31" s="609">
        <v>8.8999999999999996E-2</v>
      </c>
      <c r="Z31" s="609">
        <v>0.10200000000000001</v>
      </c>
      <c r="AA31" s="609">
        <v>0.10100000000000001</v>
      </c>
      <c r="AB31" s="612">
        <v>6.3E-2</v>
      </c>
      <c r="AC31" s="631">
        <v>3.1E-2</v>
      </c>
      <c r="AD31" s="21"/>
      <c r="AE31" s="644" t="s">
        <v>2307</v>
      </c>
      <c r="AF31" s="649" t="s">
        <v>2276</v>
      </c>
      <c r="AH31" s="643" t="s">
        <v>2272</v>
      </c>
      <c r="AI31" s="655" t="s">
        <v>2310</v>
      </c>
    </row>
    <row r="32" spans="1:46" ht="14.25" thickTop="1">
      <c r="A32" s="640" t="s">
        <v>2265</v>
      </c>
      <c r="B32" s="627">
        <v>6.1000000000000006E-2</v>
      </c>
      <c r="C32" s="605">
        <v>4.4000000000000004E-2</v>
      </c>
      <c r="D32" s="605">
        <v>2.5000000000000001E-2</v>
      </c>
      <c r="E32" s="27">
        <v>0</v>
      </c>
      <c r="F32" s="622">
        <v>1.7000000000000001E-2</v>
      </c>
      <c r="G32" s="606" t="s">
        <v>2257</v>
      </c>
      <c r="H32" s="24">
        <v>0</v>
      </c>
      <c r="I32" s="627">
        <v>1.0999999999999999E-2</v>
      </c>
      <c r="J32" s="27">
        <v>0</v>
      </c>
      <c r="K32" s="638">
        <v>0.10100000000000001</v>
      </c>
      <c r="L32" s="606" t="s">
        <v>2257</v>
      </c>
      <c r="M32" s="607">
        <v>8.4000000000000005E-2</v>
      </c>
      <c r="N32" s="607">
        <v>6.7000000000000004E-2</v>
      </c>
      <c r="O32" s="607">
        <v>9.0000000000000011E-2</v>
      </c>
      <c r="P32" s="607">
        <v>8.4000000000000005E-2</v>
      </c>
      <c r="Q32" s="606" t="s">
        <v>2257</v>
      </c>
      <c r="R32" s="606" t="s">
        <v>2257</v>
      </c>
      <c r="S32" s="607">
        <v>7.3000000000000009E-2</v>
      </c>
      <c r="T32" s="606" t="s">
        <v>2257</v>
      </c>
      <c r="U32" s="607">
        <v>6.5000000000000002E-2</v>
      </c>
      <c r="V32" s="607">
        <v>7.3000000000000009E-2</v>
      </c>
      <c r="W32" s="606" t="s">
        <v>2257</v>
      </c>
      <c r="X32" s="607">
        <v>5.4000000000000006E-2</v>
      </c>
      <c r="Y32" s="607">
        <v>5.6000000000000008E-2</v>
      </c>
      <c r="Z32" s="606" t="s">
        <v>2257</v>
      </c>
      <c r="AA32" s="607">
        <v>4.8000000000000001E-2</v>
      </c>
      <c r="AB32" s="613">
        <v>3.7000000000000005E-2</v>
      </c>
      <c r="AC32" s="632">
        <v>1.2E-2</v>
      </c>
      <c r="AD32" s="21"/>
      <c r="AE32" s="650" t="s">
        <v>2265</v>
      </c>
      <c r="AF32" s="651" t="s">
        <v>2314</v>
      </c>
      <c r="AH32" s="643" t="s">
        <v>2273</v>
      </c>
      <c r="AI32" s="655" t="s">
        <v>2311</v>
      </c>
    </row>
    <row r="33" spans="1:35">
      <c r="A33" s="641" t="s">
        <v>2266</v>
      </c>
      <c r="B33" s="624">
        <v>6.8000000000000005E-2</v>
      </c>
      <c r="C33" s="603">
        <v>0.05</v>
      </c>
      <c r="D33" s="603">
        <v>2.8000000000000001E-2</v>
      </c>
      <c r="E33" s="4">
        <v>0</v>
      </c>
      <c r="F33" s="620">
        <v>2.5999999999999999E-2</v>
      </c>
      <c r="G33" s="591" t="s">
        <v>2257</v>
      </c>
      <c r="H33" s="22">
        <v>0</v>
      </c>
      <c r="I33" s="624">
        <v>1.7999999999999999E-2</v>
      </c>
      <c r="J33" s="4">
        <v>0</v>
      </c>
      <c r="K33" s="636">
        <v>0.125</v>
      </c>
      <c r="L33" s="591" t="s">
        <v>2257</v>
      </c>
      <c r="M33" s="604">
        <v>9.9000000000000005E-2</v>
      </c>
      <c r="N33" s="604">
        <v>8.1000000000000003E-2</v>
      </c>
      <c r="O33" s="604">
        <v>0.107</v>
      </c>
      <c r="P33" s="604">
        <v>0.107</v>
      </c>
      <c r="Q33" s="591" t="s">
        <v>2257</v>
      </c>
      <c r="R33" s="591" t="s">
        <v>2257</v>
      </c>
      <c r="S33" s="604">
        <v>8.8999999999999996E-2</v>
      </c>
      <c r="T33" s="591" t="s">
        <v>2257</v>
      </c>
      <c r="U33" s="604">
        <v>8.4999999999999992E-2</v>
      </c>
      <c r="V33" s="604">
        <v>8.1000000000000003E-2</v>
      </c>
      <c r="W33" s="591" t="s">
        <v>2257</v>
      </c>
      <c r="X33" s="604">
        <v>6.7000000000000004E-2</v>
      </c>
      <c r="Y33" s="604">
        <v>6.3E-2</v>
      </c>
      <c r="Z33" s="591" t="s">
        <v>2257</v>
      </c>
      <c r="AA33" s="604">
        <v>5.8999999999999997E-2</v>
      </c>
      <c r="AB33" s="611">
        <v>4.1000000000000002E-2</v>
      </c>
      <c r="AC33" s="630">
        <v>1.2999999999999999E-2</v>
      </c>
      <c r="AD33" s="21"/>
      <c r="AE33" s="643" t="s">
        <v>2271</v>
      </c>
      <c r="AF33" s="648" t="s">
        <v>2314</v>
      </c>
      <c r="AH33" s="643" t="s">
        <v>2274</v>
      </c>
      <c r="AI33" s="655" t="s">
        <v>2312</v>
      </c>
    </row>
    <row r="34" spans="1:35" ht="14.25" thickBot="1">
      <c r="A34" s="641" t="s">
        <v>2267</v>
      </c>
      <c r="B34" s="624">
        <v>6.8000000000000005E-2</v>
      </c>
      <c r="C34" s="603">
        <v>0.05</v>
      </c>
      <c r="D34" s="603">
        <v>2.8000000000000001E-2</v>
      </c>
      <c r="E34" s="4">
        <v>0</v>
      </c>
      <c r="F34" s="620">
        <v>2.5999999999999999E-2</v>
      </c>
      <c r="G34" s="591" t="s">
        <v>2257</v>
      </c>
      <c r="H34" s="22">
        <v>0</v>
      </c>
      <c r="I34" s="624">
        <v>1.7999999999999999E-2</v>
      </c>
      <c r="J34" s="4">
        <v>0</v>
      </c>
      <c r="K34" s="636">
        <v>0.125</v>
      </c>
      <c r="L34" s="591" t="s">
        <v>2257</v>
      </c>
      <c r="M34" s="604">
        <v>9.9000000000000005E-2</v>
      </c>
      <c r="N34" s="604">
        <v>8.1000000000000003E-2</v>
      </c>
      <c r="O34" s="604">
        <v>0.107</v>
      </c>
      <c r="P34" s="604">
        <v>0.107</v>
      </c>
      <c r="Q34" s="591" t="s">
        <v>2257</v>
      </c>
      <c r="R34" s="591" t="s">
        <v>2257</v>
      </c>
      <c r="S34" s="604">
        <v>8.8999999999999996E-2</v>
      </c>
      <c r="T34" s="591" t="s">
        <v>2257</v>
      </c>
      <c r="U34" s="604">
        <v>8.4999999999999992E-2</v>
      </c>
      <c r="V34" s="604">
        <v>8.1000000000000003E-2</v>
      </c>
      <c r="W34" s="591" t="s">
        <v>2257</v>
      </c>
      <c r="X34" s="604">
        <v>6.7000000000000004E-2</v>
      </c>
      <c r="Y34" s="604">
        <v>6.3E-2</v>
      </c>
      <c r="Z34" s="591" t="s">
        <v>2257</v>
      </c>
      <c r="AA34" s="604">
        <v>5.8999999999999997E-2</v>
      </c>
      <c r="AB34" s="611">
        <v>4.1000000000000002E-2</v>
      </c>
      <c r="AC34" s="630">
        <v>1.2999999999999999E-2</v>
      </c>
      <c r="AD34" s="21"/>
      <c r="AE34" s="643" t="s">
        <v>2272</v>
      </c>
      <c r="AF34" s="648" t="s">
        <v>2314</v>
      </c>
      <c r="AH34" s="661" t="s">
        <v>2288</v>
      </c>
      <c r="AI34" s="658" t="s">
        <v>2313</v>
      </c>
    </row>
    <row r="35" spans="1:35">
      <c r="A35" s="641" t="s">
        <v>2268</v>
      </c>
      <c r="B35" s="624">
        <v>6.7000000000000004E-2</v>
      </c>
      <c r="C35" s="603">
        <v>4.9000000000000002E-2</v>
      </c>
      <c r="D35" s="603">
        <v>2.7E-2</v>
      </c>
      <c r="E35" s="4">
        <v>0</v>
      </c>
      <c r="F35" s="620">
        <v>1.7999999999999999E-2</v>
      </c>
      <c r="G35" s="591" t="s">
        <v>2257</v>
      </c>
      <c r="H35" s="22">
        <v>0</v>
      </c>
      <c r="I35" s="624">
        <v>1.2999999999999999E-2</v>
      </c>
      <c r="J35" s="4">
        <v>0</v>
      </c>
      <c r="K35" s="636">
        <v>0.107</v>
      </c>
      <c r="L35" s="591" t="s">
        <v>2257</v>
      </c>
      <c r="M35" s="604">
        <v>8.8999999999999996E-2</v>
      </c>
      <c r="N35" s="604">
        <v>7.0999999999999994E-2</v>
      </c>
      <c r="O35" s="604">
        <v>9.4E-2</v>
      </c>
      <c r="P35" s="604">
        <v>8.8999999999999996E-2</v>
      </c>
      <c r="Q35" s="591" t="s">
        <v>2257</v>
      </c>
      <c r="R35" s="591" t="s">
        <v>2257</v>
      </c>
      <c r="S35" s="604">
        <v>7.5999999999999998E-2</v>
      </c>
      <c r="T35" s="591" t="s">
        <v>2257</v>
      </c>
      <c r="U35" s="604">
        <v>6.699999999999999E-2</v>
      </c>
      <c r="V35" s="604">
        <v>7.5999999999999998E-2</v>
      </c>
      <c r="W35" s="591" t="s">
        <v>2257</v>
      </c>
      <c r="X35" s="604">
        <v>5.3999999999999999E-2</v>
      </c>
      <c r="Y35" s="604">
        <v>5.8000000000000003E-2</v>
      </c>
      <c r="Z35" s="591" t="s">
        <v>2257</v>
      </c>
      <c r="AA35" s="604">
        <v>4.9000000000000002E-2</v>
      </c>
      <c r="AB35" s="611">
        <v>3.5999999999999997E-2</v>
      </c>
      <c r="AC35" s="630">
        <v>8.9999999999999993E-3</v>
      </c>
      <c r="AD35" s="21"/>
      <c r="AE35" s="643" t="s">
        <v>2273</v>
      </c>
      <c r="AF35" s="648" t="s">
        <v>2314</v>
      </c>
    </row>
    <row r="36" spans="1:35">
      <c r="A36" s="641" t="s">
        <v>2269</v>
      </c>
      <c r="B36" s="624">
        <v>6.5000000000000002E-2</v>
      </c>
      <c r="C36" s="603">
        <v>4.7E-2</v>
      </c>
      <c r="D36" s="603">
        <v>2.6000000000000002E-2</v>
      </c>
      <c r="E36" s="4">
        <v>0</v>
      </c>
      <c r="F36" s="620">
        <v>1.7999999999999999E-2</v>
      </c>
      <c r="G36" s="591" t="s">
        <v>2257</v>
      </c>
      <c r="H36" s="22">
        <v>0</v>
      </c>
      <c r="I36" s="624">
        <v>1.2999999999999999E-2</v>
      </c>
      <c r="J36" s="4">
        <v>0</v>
      </c>
      <c r="K36" s="636">
        <v>0.105</v>
      </c>
      <c r="L36" s="591" t="s">
        <v>2257</v>
      </c>
      <c r="M36" s="604">
        <v>8.6999999999999994E-2</v>
      </c>
      <c r="N36" s="604">
        <v>6.8999999999999992E-2</v>
      </c>
      <c r="O36" s="604">
        <v>9.1999999999999998E-2</v>
      </c>
      <c r="P36" s="604">
        <v>8.6999999999999994E-2</v>
      </c>
      <c r="Q36" s="591" t="s">
        <v>2257</v>
      </c>
      <c r="R36" s="591" t="s">
        <v>2257</v>
      </c>
      <c r="S36" s="604">
        <v>7.3999999999999996E-2</v>
      </c>
      <c r="T36" s="591" t="s">
        <v>2257</v>
      </c>
      <c r="U36" s="604">
        <v>6.5999999999999989E-2</v>
      </c>
      <c r="V36" s="604">
        <v>7.3999999999999996E-2</v>
      </c>
      <c r="W36" s="591" t="s">
        <v>2257</v>
      </c>
      <c r="X36" s="604">
        <v>5.2999999999999999E-2</v>
      </c>
      <c r="Y36" s="604">
        <v>5.6000000000000001E-2</v>
      </c>
      <c r="Z36" s="591" t="s">
        <v>2257</v>
      </c>
      <c r="AA36" s="604">
        <v>4.8000000000000001E-2</v>
      </c>
      <c r="AB36" s="611">
        <v>3.5000000000000003E-2</v>
      </c>
      <c r="AC36" s="630">
        <v>8.9999999999999993E-3</v>
      </c>
      <c r="AD36" s="21"/>
      <c r="AE36" s="643" t="s">
        <v>2274</v>
      </c>
      <c r="AF36" s="648" t="s">
        <v>2314</v>
      </c>
    </row>
    <row r="37" spans="1:35" ht="14.25" thickBot="1">
      <c r="A37" s="641" t="s">
        <v>2270</v>
      </c>
      <c r="B37" s="628">
        <v>6.4000000000000001E-2</v>
      </c>
      <c r="C37" s="614">
        <v>4.7E-2</v>
      </c>
      <c r="D37" s="614">
        <v>2.6000000000000002E-2</v>
      </c>
      <c r="E37" s="5">
        <v>0</v>
      </c>
      <c r="F37" s="623">
        <v>1.7999999999999999E-2</v>
      </c>
      <c r="G37" s="615" t="s">
        <v>2257</v>
      </c>
      <c r="H37" s="23">
        <v>0</v>
      </c>
      <c r="I37" s="628">
        <v>1.2999999999999999E-2</v>
      </c>
      <c r="J37" s="5">
        <v>0</v>
      </c>
      <c r="K37" s="639">
        <v>0.104</v>
      </c>
      <c r="L37" s="615" t="s">
        <v>2257</v>
      </c>
      <c r="M37" s="616">
        <v>8.5999999999999993E-2</v>
      </c>
      <c r="N37" s="616">
        <v>6.8999999999999992E-2</v>
      </c>
      <c r="O37" s="616">
        <v>9.0999999999999998E-2</v>
      </c>
      <c r="P37" s="616">
        <v>8.6999999999999994E-2</v>
      </c>
      <c r="Q37" s="615" t="s">
        <v>2257</v>
      </c>
      <c r="R37" s="615" t="s">
        <v>2257</v>
      </c>
      <c r="S37" s="616">
        <v>7.3999999999999996E-2</v>
      </c>
      <c r="T37" s="615" t="s">
        <v>2257</v>
      </c>
      <c r="U37" s="616">
        <v>6.5999999999999989E-2</v>
      </c>
      <c r="V37" s="616">
        <v>7.2999999999999995E-2</v>
      </c>
      <c r="W37" s="615" t="s">
        <v>2257</v>
      </c>
      <c r="X37" s="616">
        <v>5.2999999999999999E-2</v>
      </c>
      <c r="Y37" s="616">
        <v>5.6000000000000001E-2</v>
      </c>
      <c r="Z37" s="615" t="s">
        <v>2257</v>
      </c>
      <c r="AA37" s="616">
        <v>4.8000000000000001E-2</v>
      </c>
      <c r="AB37" s="617">
        <v>3.5000000000000003E-2</v>
      </c>
      <c r="AC37" s="633">
        <v>8.9999999999999993E-3</v>
      </c>
      <c r="AD37" s="21"/>
      <c r="AE37" s="652" t="s">
        <v>2288</v>
      </c>
      <c r="AF37" s="653"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2024-04-11T12:03:44Z</dcterms:modified>
</cp:coreProperties>
</file>